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311" windowWidth="6315" windowHeight="8700" activeTab="0"/>
  </bookViews>
  <sheets>
    <sheet name="Guo Loading" sheetId="1" r:id="rId1"/>
    <sheet name="Turner's Result" sheetId="2" r:id="rId2"/>
    <sheet name="Guo's Result" sheetId="3" r:id="rId3"/>
    <sheet name="Sorted Data Table" sheetId="4" r:id="rId4"/>
  </sheets>
  <definedNames/>
  <calcPr fullCalcOnLoad="1"/>
</workbook>
</file>

<file path=xl/sharedStrings.xml><?xml version="1.0" encoding="utf-8"?>
<sst xmlns="http://schemas.openxmlformats.org/spreadsheetml/2006/main" count="196" uniqueCount="80">
  <si>
    <t>Input Data:</t>
  </si>
  <si>
    <t xml:space="preserve"> ft</t>
  </si>
  <si>
    <t xml:space="preserve"> psi</t>
  </si>
  <si>
    <r>
      <t xml:space="preserve"> lbf/ft</t>
    </r>
    <r>
      <rPr>
        <vertAlign val="superscript"/>
        <sz val="10"/>
        <rFont val="Arial"/>
        <family val="2"/>
      </rPr>
      <t>2</t>
    </r>
  </si>
  <si>
    <t>Condensate gravity</t>
  </si>
  <si>
    <t>Producing depth</t>
  </si>
  <si>
    <t>Wellhead pressure</t>
  </si>
  <si>
    <t xml:space="preserve"> API</t>
  </si>
  <si>
    <t xml:space="preserve"> water = 1</t>
  </si>
  <si>
    <t>Condensate make</t>
  </si>
  <si>
    <t>Gas production rate</t>
  </si>
  <si>
    <t xml:space="preserve"> Mscf/day</t>
  </si>
  <si>
    <t xml:space="preserve"> scf/day</t>
  </si>
  <si>
    <t xml:space="preserve"> bbl/MMscf</t>
  </si>
  <si>
    <t>Water make</t>
  </si>
  <si>
    <t xml:space="preserve"> bbl/day</t>
  </si>
  <si>
    <t>Conduit OD</t>
  </si>
  <si>
    <t xml:space="preserve"> inch</t>
  </si>
  <si>
    <t>Conduit ID</t>
  </si>
  <si>
    <t>Calculated Parameters:</t>
  </si>
  <si>
    <t>Conduit wall roughness</t>
  </si>
  <si>
    <t>Hydraulic diameter</t>
  </si>
  <si>
    <t>Conduit cross-sectional area</t>
  </si>
  <si>
    <r>
      <t xml:space="preserve"> ft</t>
    </r>
    <r>
      <rPr>
        <vertAlign val="superscript"/>
        <sz val="10"/>
        <rFont val="Arial"/>
        <family val="2"/>
      </rPr>
      <t>2</t>
    </r>
  </si>
  <si>
    <t>Hole inclination</t>
  </si>
  <si>
    <t xml:space="preserve"> Deg</t>
  </si>
  <si>
    <t xml:space="preserve"> Rad</t>
  </si>
  <si>
    <t>Wellhead temperature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</si>
  <si>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</si>
  <si>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R</t>
    </r>
  </si>
  <si>
    <t>Producing zone temperature</t>
  </si>
  <si>
    <t>Solid make</t>
  </si>
  <si>
    <r>
      <t xml:space="preserve">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/MMscf</t>
    </r>
  </si>
  <si>
    <r>
      <t xml:space="preserve">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/day</t>
    </r>
  </si>
  <si>
    <t>Water specific gravity</t>
  </si>
  <si>
    <t>Solid specific gravity</t>
  </si>
  <si>
    <t>Average temperature</t>
  </si>
  <si>
    <t xml:space="preserve"> dyne/cm</t>
  </si>
  <si>
    <r>
      <t xml:space="preserve"> lb/ft</t>
    </r>
    <r>
      <rPr>
        <vertAlign val="superscript"/>
        <sz val="10"/>
        <rFont val="Arial"/>
        <family val="2"/>
      </rPr>
      <t>3</t>
    </r>
  </si>
  <si>
    <t>Heavy liquid-gas interfacial tension</t>
  </si>
  <si>
    <t>Heavy liquid density</t>
  </si>
  <si>
    <t>Minimum kinetic energy</t>
  </si>
  <si>
    <r>
      <t xml:space="preserve"> lbf-ft/ft</t>
    </r>
    <r>
      <rPr>
        <vertAlign val="superscript"/>
        <sz val="10"/>
        <rFont val="Arial"/>
        <family val="2"/>
      </rPr>
      <t>3</t>
    </r>
  </si>
  <si>
    <t xml:space="preserve">a = </t>
  </si>
  <si>
    <t>Gas specific gravity</t>
  </si>
  <si>
    <t xml:space="preserve"> air =1</t>
  </si>
  <si>
    <t>b =</t>
  </si>
  <si>
    <t>c =</t>
  </si>
  <si>
    <t>d =</t>
  </si>
  <si>
    <t>e =</t>
  </si>
  <si>
    <t>f  =</t>
  </si>
  <si>
    <t>m =</t>
  </si>
  <si>
    <t>n =</t>
  </si>
  <si>
    <t>Solution:</t>
  </si>
  <si>
    <t xml:space="preserve"> psia</t>
  </si>
  <si>
    <t>Pressure (P) =</t>
  </si>
  <si>
    <r>
      <t>Objective function f(Q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) =</t>
    </r>
  </si>
  <si>
    <t>P-Phf =</t>
  </si>
  <si>
    <t>P+m =</t>
  </si>
  <si>
    <t>Phf+m =</t>
  </si>
  <si>
    <t>sqrt (n) =</t>
  </si>
  <si>
    <t>(1-2bm)/2 =</t>
  </si>
  <si>
    <t>RHS =</t>
  </si>
  <si>
    <r>
      <t>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/min</t>
    </r>
  </si>
  <si>
    <t>Test Gas Flow Rate (Mcf/D)</t>
  </si>
  <si>
    <t>Turner's Drop Model (Mcf/D)</t>
  </si>
  <si>
    <t>This Work (Mcf/D)</t>
  </si>
  <si>
    <t>Status During Test</t>
  </si>
  <si>
    <t>Should be determined based on F14 or H12 !</t>
  </si>
  <si>
    <t>60 for water and 20 for condensate.</t>
  </si>
  <si>
    <t>Test No.</t>
  </si>
  <si>
    <t>Loaded up</t>
  </si>
  <si>
    <t>Unloaded</t>
  </si>
  <si>
    <t>Questionable</t>
  </si>
  <si>
    <t>Turner's Drop Model (Adjusted) (Mcf/D)</t>
  </si>
  <si>
    <t>Nearly loaded up</t>
  </si>
  <si>
    <t>m+bn/c-bm2 =</t>
  </si>
  <si>
    <t>This spreadsheet calculates the minimum unloading gas production rate.</t>
  </si>
  <si>
    <t>GasWellLoading.xls</t>
  </si>
  <si>
    <t>Major liquid (1=water; -1=condensate)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</si>
</sst>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1.75"/>
      <name val="Arial"/>
      <family val="2"/>
    </font>
    <font>
      <sz val="19.5"/>
      <name val="Arial"/>
      <family val="2"/>
    </font>
    <font>
      <sz val="10.75"/>
      <name val="Arial"/>
      <family val="0"/>
    </font>
    <font>
      <sz val="16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167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3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12" fillId="0" borderId="4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"/>
          <c:w val="0.932"/>
          <c:h val="0.91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'Sorted Data Table'!$E$24</c:f>
              <c:strCache>
                <c:ptCount val="1"/>
                <c:pt idx="0">
                  <c:v>Unloaded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'Sorted Data Table'!$F$24:$F$76</c:f>
              <c:numCache>
                <c:ptCount val="53"/>
                <c:pt idx="0">
                  <c:v>6582</c:v>
                </c:pt>
                <c:pt idx="1">
                  <c:v>6254.4</c:v>
                </c:pt>
                <c:pt idx="2">
                  <c:v>3838.7999999999997</c:v>
                </c:pt>
                <c:pt idx="3">
                  <c:v>1486.8</c:v>
                </c:pt>
                <c:pt idx="4">
                  <c:v>1688.3999999999999</c:v>
                </c:pt>
                <c:pt idx="5">
                  <c:v>1760.3999999999999</c:v>
                </c:pt>
                <c:pt idx="6">
                  <c:v>1802.3999999999999</c:v>
                </c:pt>
                <c:pt idx="7">
                  <c:v>2124</c:v>
                </c:pt>
                <c:pt idx="8">
                  <c:v>2078.4</c:v>
                </c:pt>
                <c:pt idx="9">
                  <c:v>2046</c:v>
                </c:pt>
                <c:pt idx="10">
                  <c:v>1990.8</c:v>
                </c:pt>
                <c:pt idx="11">
                  <c:v>1021.1999999999999</c:v>
                </c:pt>
                <c:pt idx="12">
                  <c:v>976.8</c:v>
                </c:pt>
                <c:pt idx="13">
                  <c:v>900</c:v>
                </c:pt>
                <c:pt idx="14">
                  <c:v>823.1999999999999</c:v>
                </c:pt>
                <c:pt idx="15">
                  <c:v>1050</c:v>
                </c:pt>
                <c:pt idx="16">
                  <c:v>1030.8</c:v>
                </c:pt>
                <c:pt idx="17">
                  <c:v>998.4</c:v>
                </c:pt>
                <c:pt idx="18">
                  <c:v>963.5999999999999</c:v>
                </c:pt>
                <c:pt idx="19">
                  <c:v>1459.2</c:v>
                </c:pt>
                <c:pt idx="20">
                  <c:v>1411.2</c:v>
                </c:pt>
                <c:pt idx="21">
                  <c:v>1284</c:v>
                </c:pt>
                <c:pt idx="22">
                  <c:v>1101.6</c:v>
                </c:pt>
                <c:pt idx="23">
                  <c:v>1000.8</c:v>
                </c:pt>
                <c:pt idx="24">
                  <c:v>980.4</c:v>
                </c:pt>
                <c:pt idx="25">
                  <c:v>924</c:v>
                </c:pt>
                <c:pt idx="26">
                  <c:v>895.1999999999999</c:v>
                </c:pt>
                <c:pt idx="27">
                  <c:v>1078.8</c:v>
                </c:pt>
                <c:pt idx="28">
                  <c:v>999.5999999999999</c:v>
                </c:pt>
                <c:pt idx="29">
                  <c:v>906</c:v>
                </c:pt>
                <c:pt idx="30">
                  <c:v>819.6</c:v>
                </c:pt>
                <c:pt idx="31">
                  <c:v>1298.3999999999999</c:v>
                </c:pt>
                <c:pt idx="32">
                  <c:v>1269.6</c:v>
                </c:pt>
                <c:pt idx="33">
                  <c:v>1231.2</c:v>
                </c:pt>
                <c:pt idx="34">
                  <c:v>1195.2</c:v>
                </c:pt>
                <c:pt idx="35">
                  <c:v>1129.2</c:v>
                </c:pt>
                <c:pt idx="36">
                  <c:v>1027.2</c:v>
                </c:pt>
                <c:pt idx="37">
                  <c:v>6117.599999999999</c:v>
                </c:pt>
                <c:pt idx="38">
                  <c:v>1380</c:v>
                </c:pt>
                <c:pt idx="39">
                  <c:v>1370.3999999999999</c:v>
                </c:pt>
                <c:pt idx="40">
                  <c:v>1302</c:v>
                </c:pt>
                <c:pt idx="41">
                  <c:v>1888.8</c:v>
                </c:pt>
                <c:pt idx="42">
                  <c:v>1298.3999999999999</c:v>
                </c:pt>
                <c:pt idx="43">
                  <c:v>1977.6</c:v>
                </c:pt>
                <c:pt idx="44">
                  <c:v>1882.8</c:v>
                </c:pt>
                <c:pt idx="45">
                  <c:v>2316</c:v>
                </c:pt>
                <c:pt idx="46">
                  <c:v>1092</c:v>
                </c:pt>
                <c:pt idx="47">
                  <c:v>4496.4</c:v>
                </c:pt>
                <c:pt idx="48">
                  <c:v>3834</c:v>
                </c:pt>
                <c:pt idx="49">
                  <c:v>5578.8</c:v>
                </c:pt>
                <c:pt idx="50">
                  <c:v>7028.4</c:v>
                </c:pt>
                <c:pt idx="51">
                  <c:v>7148.4</c:v>
                </c:pt>
                <c:pt idx="52">
                  <c:v>6642</c:v>
                </c:pt>
              </c:numCache>
            </c:numRef>
          </c:xVal>
          <c:yVal>
            <c:numRef>
              <c:f>'Sorted Data Table'!$D$24:$D$76</c:f>
              <c:numCache>
                <c:ptCount val="53"/>
                <c:pt idx="0">
                  <c:v>9860</c:v>
                </c:pt>
                <c:pt idx="1">
                  <c:v>11767</c:v>
                </c:pt>
                <c:pt idx="2">
                  <c:v>6423</c:v>
                </c:pt>
                <c:pt idx="3">
                  <c:v>8672</c:v>
                </c:pt>
                <c:pt idx="4">
                  <c:v>6654</c:v>
                </c:pt>
                <c:pt idx="5">
                  <c:v>5136</c:v>
                </c:pt>
                <c:pt idx="6">
                  <c:v>3917</c:v>
                </c:pt>
                <c:pt idx="7">
                  <c:v>3376</c:v>
                </c:pt>
                <c:pt idx="8">
                  <c:v>4830</c:v>
                </c:pt>
                <c:pt idx="9">
                  <c:v>6221</c:v>
                </c:pt>
                <c:pt idx="10">
                  <c:v>7792</c:v>
                </c:pt>
                <c:pt idx="11">
                  <c:v>1139</c:v>
                </c:pt>
                <c:pt idx="12">
                  <c:v>1712</c:v>
                </c:pt>
                <c:pt idx="13">
                  <c:v>2473</c:v>
                </c:pt>
                <c:pt idx="14">
                  <c:v>2965</c:v>
                </c:pt>
                <c:pt idx="15">
                  <c:v>1797</c:v>
                </c:pt>
                <c:pt idx="16">
                  <c:v>2502</c:v>
                </c:pt>
                <c:pt idx="17">
                  <c:v>3460</c:v>
                </c:pt>
                <c:pt idx="18">
                  <c:v>4439</c:v>
                </c:pt>
                <c:pt idx="19">
                  <c:v>1596</c:v>
                </c:pt>
                <c:pt idx="20">
                  <c:v>2423</c:v>
                </c:pt>
                <c:pt idx="21">
                  <c:v>3598</c:v>
                </c:pt>
                <c:pt idx="22">
                  <c:v>4410</c:v>
                </c:pt>
                <c:pt idx="23">
                  <c:v>2939</c:v>
                </c:pt>
                <c:pt idx="24">
                  <c:v>4140</c:v>
                </c:pt>
                <c:pt idx="25">
                  <c:v>5820</c:v>
                </c:pt>
                <c:pt idx="26">
                  <c:v>6871</c:v>
                </c:pt>
                <c:pt idx="27">
                  <c:v>1943</c:v>
                </c:pt>
                <c:pt idx="28">
                  <c:v>2910</c:v>
                </c:pt>
                <c:pt idx="29">
                  <c:v>3742</c:v>
                </c:pt>
                <c:pt idx="30">
                  <c:v>4485</c:v>
                </c:pt>
                <c:pt idx="31">
                  <c:v>3436</c:v>
                </c:pt>
                <c:pt idx="32">
                  <c:v>4471</c:v>
                </c:pt>
                <c:pt idx="33">
                  <c:v>1550</c:v>
                </c:pt>
                <c:pt idx="34">
                  <c:v>1804</c:v>
                </c:pt>
                <c:pt idx="35">
                  <c:v>2385</c:v>
                </c:pt>
                <c:pt idx="36">
                  <c:v>2949</c:v>
                </c:pt>
                <c:pt idx="37">
                  <c:v>3024</c:v>
                </c:pt>
                <c:pt idx="38">
                  <c:v>2926</c:v>
                </c:pt>
                <c:pt idx="39">
                  <c:v>3726</c:v>
                </c:pt>
                <c:pt idx="40">
                  <c:v>2572</c:v>
                </c:pt>
                <c:pt idx="41">
                  <c:v>3351</c:v>
                </c:pt>
                <c:pt idx="42">
                  <c:v>2769</c:v>
                </c:pt>
                <c:pt idx="43">
                  <c:v>3890</c:v>
                </c:pt>
                <c:pt idx="44">
                  <c:v>3517</c:v>
                </c:pt>
                <c:pt idx="45">
                  <c:v>6946</c:v>
                </c:pt>
                <c:pt idx="46">
                  <c:v>1959</c:v>
                </c:pt>
                <c:pt idx="47">
                  <c:v>7504</c:v>
                </c:pt>
                <c:pt idx="48">
                  <c:v>4150</c:v>
                </c:pt>
                <c:pt idx="49">
                  <c:v>5513</c:v>
                </c:pt>
                <c:pt idx="50">
                  <c:v>9897</c:v>
                </c:pt>
                <c:pt idx="51">
                  <c:v>9289</c:v>
                </c:pt>
                <c:pt idx="52">
                  <c:v>9747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'Sorted Data Table'!$E$2</c:f>
              <c:strCache>
                <c:ptCount val="1"/>
                <c:pt idx="0">
                  <c:v>Nearly loaded up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'Sorted Data Table'!$F$2:$F$7</c:f>
              <c:numCache>
                <c:ptCount val="6"/>
                <c:pt idx="0">
                  <c:v>934.8</c:v>
                </c:pt>
                <c:pt idx="1">
                  <c:v>699.6</c:v>
                </c:pt>
                <c:pt idx="2">
                  <c:v>367.2</c:v>
                </c:pt>
                <c:pt idx="3">
                  <c:v>793.1999999999999</c:v>
                </c:pt>
                <c:pt idx="4">
                  <c:v>502.79999999999995</c:v>
                </c:pt>
                <c:pt idx="5">
                  <c:v>1149.6</c:v>
                </c:pt>
              </c:numCache>
            </c:numRef>
          </c:xVal>
          <c:yVal>
            <c:numRef>
              <c:f>'Sorted Data Table'!$D$2:$D$7</c:f>
              <c:numCache>
                <c:ptCount val="6"/>
                <c:pt idx="0">
                  <c:v>775</c:v>
                </c:pt>
                <c:pt idx="1">
                  <c:v>417</c:v>
                </c:pt>
                <c:pt idx="2">
                  <c:v>568</c:v>
                </c:pt>
                <c:pt idx="3">
                  <c:v>712</c:v>
                </c:pt>
                <c:pt idx="4">
                  <c:v>442</c:v>
                </c:pt>
                <c:pt idx="5">
                  <c:v>1607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'Sorted Data Table'!$E$77</c:f>
              <c:strCache>
                <c:ptCount val="1"/>
                <c:pt idx="0">
                  <c:v>Loaded up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'Sorted Data Table'!$F$77:$F$107</c:f>
              <c:numCache>
                <c:ptCount val="31"/>
                <c:pt idx="0">
                  <c:v>6696</c:v>
                </c:pt>
                <c:pt idx="1">
                  <c:v>7117.2</c:v>
                </c:pt>
                <c:pt idx="2">
                  <c:v>3937.2</c:v>
                </c:pt>
                <c:pt idx="3">
                  <c:v>4520.4</c:v>
                </c:pt>
                <c:pt idx="4">
                  <c:v>1924.8</c:v>
                </c:pt>
                <c:pt idx="5">
                  <c:v>2347.2</c:v>
                </c:pt>
                <c:pt idx="6">
                  <c:v>1992</c:v>
                </c:pt>
                <c:pt idx="7">
                  <c:v>1947.6</c:v>
                </c:pt>
                <c:pt idx="8">
                  <c:v>1329.6</c:v>
                </c:pt>
                <c:pt idx="9">
                  <c:v>1962</c:v>
                </c:pt>
                <c:pt idx="10">
                  <c:v>6054</c:v>
                </c:pt>
                <c:pt idx="11">
                  <c:v>1377.6</c:v>
                </c:pt>
                <c:pt idx="12">
                  <c:v>1318.8</c:v>
                </c:pt>
                <c:pt idx="13">
                  <c:v>1436.3999999999999</c:v>
                </c:pt>
                <c:pt idx="14">
                  <c:v>1702.8</c:v>
                </c:pt>
                <c:pt idx="15">
                  <c:v>1387.2</c:v>
                </c:pt>
                <c:pt idx="16">
                  <c:v>6111.599999999999</c:v>
                </c:pt>
                <c:pt idx="17">
                  <c:v>7107.599999999999</c:v>
                </c:pt>
                <c:pt idx="18">
                  <c:v>7423.2</c:v>
                </c:pt>
                <c:pt idx="19">
                  <c:v>7630.799999999999</c:v>
                </c:pt>
                <c:pt idx="20">
                  <c:v>2620.7999999999997</c:v>
                </c:pt>
                <c:pt idx="21">
                  <c:v>2071.2</c:v>
                </c:pt>
                <c:pt idx="22">
                  <c:v>7640.4</c:v>
                </c:pt>
                <c:pt idx="23">
                  <c:v>2499.6</c:v>
                </c:pt>
                <c:pt idx="24">
                  <c:v>3897.6</c:v>
                </c:pt>
                <c:pt idx="25">
                  <c:v>2894.4</c:v>
                </c:pt>
                <c:pt idx="26">
                  <c:v>5904</c:v>
                </c:pt>
                <c:pt idx="27">
                  <c:v>5751.599999999999</c:v>
                </c:pt>
                <c:pt idx="28">
                  <c:v>7298.4</c:v>
                </c:pt>
                <c:pt idx="29">
                  <c:v>6769.2</c:v>
                </c:pt>
                <c:pt idx="30">
                  <c:v>4335.599999999999</c:v>
                </c:pt>
              </c:numCache>
            </c:numRef>
          </c:xVal>
          <c:yVal>
            <c:numRef>
              <c:f>'Sorted Data Table'!$D$77:$D$107</c:f>
              <c:numCache>
                <c:ptCount val="31"/>
                <c:pt idx="0">
                  <c:v>7109</c:v>
                </c:pt>
                <c:pt idx="1">
                  <c:v>8185</c:v>
                </c:pt>
                <c:pt idx="2">
                  <c:v>3009</c:v>
                </c:pt>
                <c:pt idx="3">
                  <c:v>5501</c:v>
                </c:pt>
                <c:pt idx="4">
                  <c:v>2547</c:v>
                </c:pt>
                <c:pt idx="5">
                  <c:v>3472</c:v>
                </c:pt>
                <c:pt idx="6">
                  <c:v>2542</c:v>
                </c:pt>
                <c:pt idx="7">
                  <c:v>2261</c:v>
                </c:pt>
                <c:pt idx="8">
                  <c:v>1792</c:v>
                </c:pt>
                <c:pt idx="9">
                  <c:v>1814</c:v>
                </c:pt>
                <c:pt idx="10">
                  <c:v>3863</c:v>
                </c:pt>
                <c:pt idx="11">
                  <c:v>1247</c:v>
                </c:pt>
                <c:pt idx="12">
                  <c:v>1313</c:v>
                </c:pt>
                <c:pt idx="13">
                  <c:v>1356</c:v>
                </c:pt>
                <c:pt idx="14">
                  <c:v>1365</c:v>
                </c:pt>
                <c:pt idx="15">
                  <c:v>1525</c:v>
                </c:pt>
                <c:pt idx="16">
                  <c:v>5740</c:v>
                </c:pt>
                <c:pt idx="17">
                  <c:v>3890</c:v>
                </c:pt>
                <c:pt idx="18">
                  <c:v>2780</c:v>
                </c:pt>
                <c:pt idx="19">
                  <c:v>1638</c:v>
                </c:pt>
                <c:pt idx="20">
                  <c:v>400</c:v>
                </c:pt>
                <c:pt idx="21">
                  <c:v>800</c:v>
                </c:pt>
                <c:pt idx="22">
                  <c:v>4300</c:v>
                </c:pt>
                <c:pt idx="23">
                  <c:v>500</c:v>
                </c:pt>
                <c:pt idx="24">
                  <c:v>470</c:v>
                </c:pt>
                <c:pt idx="25">
                  <c:v>2611</c:v>
                </c:pt>
                <c:pt idx="26">
                  <c:v>4441</c:v>
                </c:pt>
                <c:pt idx="27">
                  <c:v>4843</c:v>
                </c:pt>
                <c:pt idx="28">
                  <c:v>6702</c:v>
                </c:pt>
                <c:pt idx="29">
                  <c:v>6361</c:v>
                </c:pt>
                <c:pt idx="30">
                  <c:v>4124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'Sorted Data Table'!$E$8</c:f>
              <c:strCache>
                <c:ptCount val="1"/>
                <c:pt idx="0">
                  <c:v>Questionable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'Sorted Data Table'!$F$8:$F$23</c:f>
              <c:numCache>
                <c:ptCount val="16"/>
                <c:pt idx="0">
                  <c:v>1389.6</c:v>
                </c:pt>
                <c:pt idx="1">
                  <c:v>2881.2</c:v>
                </c:pt>
                <c:pt idx="2">
                  <c:v>2874</c:v>
                </c:pt>
                <c:pt idx="3">
                  <c:v>1920</c:v>
                </c:pt>
                <c:pt idx="4">
                  <c:v>1932</c:v>
                </c:pt>
                <c:pt idx="5">
                  <c:v>2281.2</c:v>
                </c:pt>
                <c:pt idx="6">
                  <c:v>1984.8</c:v>
                </c:pt>
                <c:pt idx="7">
                  <c:v>2329.2</c:v>
                </c:pt>
                <c:pt idx="8">
                  <c:v>1123.2</c:v>
                </c:pt>
                <c:pt idx="9">
                  <c:v>4508.4</c:v>
                </c:pt>
                <c:pt idx="10">
                  <c:v>3879.6</c:v>
                </c:pt>
                <c:pt idx="11">
                  <c:v>7082.4</c:v>
                </c:pt>
                <c:pt idx="12">
                  <c:v>7218</c:v>
                </c:pt>
                <c:pt idx="13">
                  <c:v>4094.3999999999996</c:v>
                </c:pt>
                <c:pt idx="14">
                  <c:v>6805.2</c:v>
                </c:pt>
                <c:pt idx="15">
                  <c:v>6670.8</c:v>
                </c:pt>
              </c:numCache>
            </c:numRef>
          </c:xVal>
          <c:yVal>
            <c:numRef>
              <c:f>'Sorted Data Table'!$D$8:$D$23</c:f>
              <c:numCache>
                <c:ptCount val="16"/>
                <c:pt idx="0">
                  <c:v>2494</c:v>
                </c:pt>
                <c:pt idx="1">
                  <c:v>3264</c:v>
                </c:pt>
                <c:pt idx="2">
                  <c:v>4095</c:v>
                </c:pt>
                <c:pt idx="3">
                  <c:v>2915</c:v>
                </c:pt>
                <c:pt idx="4">
                  <c:v>2503</c:v>
                </c:pt>
                <c:pt idx="5">
                  <c:v>2069</c:v>
                </c:pt>
                <c:pt idx="6">
                  <c:v>3182</c:v>
                </c:pt>
                <c:pt idx="7">
                  <c:v>4896</c:v>
                </c:pt>
                <c:pt idx="8">
                  <c:v>1116</c:v>
                </c:pt>
                <c:pt idx="9">
                  <c:v>6405</c:v>
                </c:pt>
                <c:pt idx="10">
                  <c:v>3551</c:v>
                </c:pt>
                <c:pt idx="11">
                  <c:v>9039</c:v>
                </c:pt>
                <c:pt idx="12">
                  <c:v>8210</c:v>
                </c:pt>
                <c:pt idx="13">
                  <c:v>4998</c:v>
                </c:pt>
                <c:pt idx="14">
                  <c:v>8057</c:v>
                </c:pt>
                <c:pt idx="15">
                  <c:v>8406</c:v>
                </c:pt>
              </c:numCache>
            </c:numRef>
          </c:yVal>
          <c:smooth val="0"/>
        </c:ser>
        <c:axId val="32214414"/>
        <c:axId val="21494271"/>
      </c:scatterChart>
      <c:valAx>
        <c:axId val="32214414"/>
        <c:scaling>
          <c:orientation val="minMax"/>
          <c:max val="1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latin typeface="Arial"/>
                    <a:ea typeface="Arial"/>
                    <a:cs typeface="Arial"/>
                  </a:rPr>
                  <a:t>Calculated Minimum Flow Rate (Mcf/D)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21494271"/>
        <c:crosses val="autoZero"/>
        <c:crossBetween val="midCat"/>
        <c:dispUnits/>
      </c:valAx>
      <c:valAx>
        <c:axId val="21494271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latin typeface="Arial"/>
                    <a:ea typeface="Arial"/>
                    <a:cs typeface="Arial"/>
                  </a:rPr>
                  <a:t>Test Flow Rate (Mcf/D)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32214414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525"/>
          <c:y val="0.566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"/>
          <c:w val="0.932"/>
          <c:h val="0.91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'Sorted Data Table'!$E$24</c:f>
              <c:strCache>
                <c:ptCount val="1"/>
                <c:pt idx="0">
                  <c:v>Unloaded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'Sorted Data Table'!$G$24:$G$76</c:f>
              <c:numCache>
                <c:ptCount val="53"/>
                <c:pt idx="0">
                  <c:v>7157</c:v>
                </c:pt>
                <c:pt idx="1">
                  <c:v>6795</c:v>
                </c:pt>
                <c:pt idx="2">
                  <c:v>4327</c:v>
                </c:pt>
                <c:pt idx="3">
                  <c:v>1404</c:v>
                </c:pt>
                <c:pt idx="4">
                  <c:v>1612</c:v>
                </c:pt>
                <c:pt idx="5">
                  <c:v>1704</c:v>
                </c:pt>
                <c:pt idx="6">
                  <c:v>1758</c:v>
                </c:pt>
                <c:pt idx="7">
                  <c:v>2345</c:v>
                </c:pt>
                <c:pt idx="8">
                  <c:v>2316</c:v>
                </c:pt>
                <c:pt idx="9">
                  <c:v>2282</c:v>
                </c:pt>
                <c:pt idx="10">
                  <c:v>2231</c:v>
                </c:pt>
                <c:pt idx="11">
                  <c:v>892</c:v>
                </c:pt>
                <c:pt idx="12">
                  <c:v>967</c:v>
                </c:pt>
                <c:pt idx="13">
                  <c:v>893</c:v>
                </c:pt>
                <c:pt idx="14">
                  <c:v>820</c:v>
                </c:pt>
                <c:pt idx="15">
                  <c:v>1011</c:v>
                </c:pt>
                <c:pt idx="16">
                  <c:v>1003</c:v>
                </c:pt>
                <c:pt idx="17">
                  <c:v>982</c:v>
                </c:pt>
                <c:pt idx="18">
                  <c:v>953</c:v>
                </c:pt>
                <c:pt idx="19">
                  <c:v>1499</c:v>
                </c:pt>
                <c:pt idx="20">
                  <c:v>1436</c:v>
                </c:pt>
                <c:pt idx="21">
                  <c:v>1297</c:v>
                </c:pt>
                <c:pt idx="22">
                  <c:v>1123</c:v>
                </c:pt>
                <c:pt idx="23">
                  <c:v>1006</c:v>
                </c:pt>
                <c:pt idx="24">
                  <c:v>982</c:v>
                </c:pt>
                <c:pt idx="25">
                  <c:v>935</c:v>
                </c:pt>
                <c:pt idx="26">
                  <c:v>895</c:v>
                </c:pt>
                <c:pt idx="27">
                  <c:v>1433</c:v>
                </c:pt>
                <c:pt idx="28">
                  <c:v>1333</c:v>
                </c:pt>
                <c:pt idx="29">
                  <c:v>1213</c:v>
                </c:pt>
                <c:pt idx="30">
                  <c:v>1099</c:v>
                </c:pt>
                <c:pt idx="31">
                  <c:v>1267</c:v>
                </c:pt>
                <c:pt idx="32">
                  <c:v>1247</c:v>
                </c:pt>
                <c:pt idx="33">
                  <c:v>1243</c:v>
                </c:pt>
                <c:pt idx="34">
                  <c:v>1208</c:v>
                </c:pt>
                <c:pt idx="35">
                  <c:v>1140</c:v>
                </c:pt>
                <c:pt idx="36">
                  <c:v>1034</c:v>
                </c:pt>
                <c:pt idx="37">
                  <c:v>6476</c:v>
                </c:pt>
                <c:pt idx="38">
                  <c:v>1458</c:v>
                </c:pt>
                <c:pt idx="39">
                  <c:v>1520</c:v>
                </c:pt>
                <c:pt idx="40">
                  <c:v>1532</c:v>
                </c:pt>
                <c:pt idx="41">
                  <c:v>2175</c:v>
                </c:pt>
                <c:pt idx="42">
                  <c:v>1527</c:v>
                </c:pt>
                <c:pt idx="43">
                  <c:v>2231</c:v>
                </c:pt>
                <c:pt idx="44">
                  <c:v>2038</c:v>
                </c:pt>
                <c:pt idx="45">
                  <c:v>3109</c:v>
                </c:pt>
                <c:pt idx="46">
                  <c:v>1126</c:v>
                </c:pt>
                <c:pt idx="47">
                  <c:v>4890</c:v>
                </c:pt>
                <c:pt idx="48">
                  <c:v>3627</c:v>
                </c:pt>
                <c:pt idx="49">
                  <c:v>5931</c:v>
                </c:pt>
                <c:pt idx="50">
                  <c:v>7896</c:v>
                </c:pt>
                <c:pt idx="51">
                  <c:v>7921</c:v>
                </c:pt>
                <c:pt idx="52">
                  <c:v>7290</c:v>
                </c:pt>
              </c:numCache>
            </c:numRef>
          </c:xVal>
          <c:yVal>
            <c:numRef>
              <c:f>'Sorted Data Table'!$D$24:$D$76</c:f>
              <c:numCache>
                <c:ptCount val="53"/>
                <c:pt idx="0">
                  <c:v>9860</c:v>
                </c:pt>
                <c:pt idx="1">
                  <c:v>11767</c:v>
                </c:pt>
                <c:pt idx="2">
                  <c:v>6423</c:v>
                </c:pt>
                <c:pt idx="3">
                  <c:v>8672</c:v>
                </c:pt>
                <c:pt idx="4">
                  <c:v>6654</c:v>
                </c:pt>
                <c:pt idx="5">
                  <c:v>5136</c:v>
                </c:pt>
                <c:pt idx="6">
                  <c:v>3917</c:v>
                </c:pt>
                <c:pt idx="7">
                  <c:v>3376</c:v>
                </c:pt>
                <c:pt idx="8">
                  <c:v>4830</c:v>
                </c:pt>
                <c:pt idx="9">
                  <c:v>6221</c:v>
                </c:pt>
                <c:pt idx="10">
                  <c:v>7792</c:v>
                </c:pt>
                <c:pt idx="11">
                  <c:v>1139</c:v>
                </c:pt>
                <c:pt idx="12">
                  <c:v>1712</c:v>
                </c:pt>
                <c:pt idx="13">
                  <c:v>2473</c:v>
                </c:pt>
                <c:pt idx="14">
                  <c:v>2965</c:v>
                </c:pt>
                <c:pt idx="15">
                  <c:v>1797</c:v>
                </c:pt>
                <c:pt idx="16">
                  <c:v>2502</c:v>
                </c:pt>
                <c:pt idx="17">
                  <c:v>3460</c:v>
                </c:pt>
                <c:pt idx="18">
                  <c:v>4439</c:v>
                </c:pt>
                <c:pt idx="19">
                  <c:v>1596</c:v>
                </c:pt>
                <c:pt idx="20">
                  <c:v>2423</c:v>
                </c:pt>
                <c:pt idx="21">
                  <c:v>3598</c:v>
                </c:pt>
                <c:pt idx="22">
                  <c:v>4410</c:v>
                </c:pt>
                <c:pt idx="23">
                  <c:v>2939</c:v>
                </c:pt>
                <c:pt idx="24">
                  <c:v>4140</c:v>
                </c:pt>
                <c:pt idx="25">
                  <c:v>5820</c:v>
                </c:pt>
                <c:pt idx="26">
                  <c:v>6871</c:v>
                </c:pt>
                <c:pt idx="27">
                  <c:v>1943</c:v>
                </c:pt>
                <c:pt idx="28">
                  <c:v>2910</c:v>
                </c:pt>
                <c:pt idx="29">
                  <c:v>3742</c:v>
                </c:pt>
                <c:pt idx="30">
                  <c:v>4485</c:v>
                </c:pt>
                <c:pt idx="31">
                  <c:v>3436</c:v>
                </c:pt>
                <c:pt idx="32">
                  <c:v>4471</c:v>
                </c:pt>
                <c:pt idx="33">
                  <c:v>1550</c:v>
                </c:pt>
                <c:pt idx="34">
                  <c:v>1804</c:v>
                </c:pt>
                <c:pt idx="35">
                  <c:v>2385</c:v>
                </c:pt>
                <c:pt idx="36">
                  <c:v>2949</c:v>
                </c:pt>
                <c:pt idx="37">
                  <c:v>3024</c:v>
                </c:pt>
                <c:pt idx="38">
                  <c:v>2926</c:v>
                </c:pt>
                <c:pt idx="39">
                  <c:v>3726</c:v>
                </c:pt>
                <c:pt idx="40">
                  <c:v>2572</c:v>
                </c:pt>
                <c:pt idx="41">
                  <c:v>3351</c:v>
                </c:pt>
                <c:pt idx="42">
                  <c:v>2769</c:v>
                </c:pt>
                <c:pt idx="43">
                  <c:v>3890</c:v>
                </c:pt>
                <c:pt idx="44">
                  <c:v>3517</c:v>
                </c:pt>
                <c:pt idx="45">
                  <c:v>6946</c:v>
                </c:pt>
                <c:pt idx="46">
                  <c:v>1959</c:v>
                </c:pt>
                <c:pt idx="47">
                  <c:v>7504</c:v>
                </c:pt>
                <c:pt idx="48">
                  <c:v>4150</c:v>
                </c:pt>
                <c:pt idx="49">
                  <c:v>5513</c:v>
                </c:pt>
                <c:pt idx="50">
                  <c:v>9897</c:v>
                </c:pt>
                <c:pt idx="51">
                  <c:v>9289</c:v>
                </c:pt>
                <c:pt idx="52">
                  <c:v>9747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'Sorted Data Table'!$E$2</c:f>
              <c:strCache>
                <c:ptCount val="1"/>
                <c:pt idx="0">
                  <c:v>Nearly loaded up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'Sorted Data Table'!$G$2:$G$7</c:f>
              <c:numCache>
                <c:ptCount val="6"/>
                <c:pt idx="0">
                  <c:v>961</c:v>
                </c:pt>
                <c:pt idx="1">
                  <c:v>744</c:v>
                </c:pt>
                <c:pt idx="2">
                  <c:v>591</c:v>
                </c:pt>
                <c:pt idx="3">
                  <c:v>861</c:v>
                </c:pt>
                <c:pt idx="4">
                  <c:v>514</c:v>
                </c:pt>
                <c:pt idx="5">
                  <c:v>1327</c:v>
                </c:pt>
              </c:numCache>
            </c:numRef>
          </c:xVal>
          <c:yVal>
            <c:numRef>
              <c:f>'Sorted Data Table'!$D$2:$D$7</c:f>
              <c:numCache>
                <c:ptCount val="6"/>
                <c:pt idx="0">
                  <c:v>775</c:v>
                </c:pt>
                <c:pt idx="1">
                  <c:v>417</c:v>
                </c:pt>
                <c:pt idx="2">
                  <c:v>568</c:v>
                </c:pt>
                <c:pt idx="3">
                  <c:v>712</c:v>
                </c:pt>
                <c:pt idx="4">
                  <c:v>442</c:v>
                </c:pt>
                <c:pt idx="5">
                  <c:v>1607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'Sorted Data Table'!$E$77</c:f>
              <c:strCache>
                <c:ptCount val="1"/>
                <c:pt idx="0">
                  <c:v>Loaded up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'Sorted Data Table'!$G$77:$G$107</c:f>
              <c:numCache>
                <c:ptCount val="31"/>
                <c:pt idx="0">
                  <c:v>7335</c:v>
                </c:pt>
                <c:pt idx="1">
                  <c:v>7988</c:v>
                </c:pt>
                <c:pt idx="2">
                  <c:v>3711</c:v>
                </c:pt>
                <c:pt idx="3">
                  <c:v>4904</c:v>
                </c:pt>
                <c:pt idx="4">
                  <c:v>2100</c:v>
                </c:pt>
                <c:pt idx="5">
                  <c:v>3274</c:v>
                </c:pt>
                <c:pt idx="6">
                  <c:v>2243</c:v>
                </c:pt>
                <c:pt idx="7">
                  <c:v>2256</c:v>
                </c:pt>
                <c:pt idx="8">
                  <c:v>1540</c:v>
                </c:pt>
                <c:pt idx="9">
                  <c:v>2307</c:v>
                </c:pt>
                <c:pt idx="10">
                  <c:v>6332</c:v>
                </c:pt>
                <c:pt idx="11">
                  <c:v>1588</c:v>
                </c:pt>
                <c:pt idx="12">
                  <c:v>1577</c:v>
                </c:pt>
                <c:pt idx="13">
                  <c:v>1619</c:v>
                </c:pt>
                <c:pt idx="14">
                  <c:v>1868</c:v>
                </c:pt>
                <c:pt idx="15">
                  <c:v>1494</c:v>
                </c:pt>
                <c:pt idx="16">
                  <c:v>5938</c:v>
                </c:pt>
                <c:pt idx="17">
                  <c:v>6871</c:v>
                </c:pt>
                <c:pt idx="18">
                  <c:v>7166</c:v>
                </c:pt>
                <c:pt idx="19">
                  <c:v>7357</c:v>
                </c:pt>
                <c:pt idx="20">
                  <c:v>2338</c:v>
                </c:pt>
                <c:pt idx="21">
                  <c:v>2242</c:v>
                </c:pt>
                <c:pt idx="22">
                  <c:v>7975</c:v>
                </c:pt>
                <c:pt idx="23">
                  <c:v>2906</c:v>
                </c:pt>
                <c:pt idx="24">
                  <c:v>4406</c:v>
                </c:pt>
                <c:pt idx="25">
                  <c:v>3388</c:v>
                </c:pt>
                <c:pt idx="26">
                  <c:v>6262</c:v>
                </c:pt>
                <c:pt idx="27">
                  <c:v>6106</c:v>
                </c:pt>
                <c:pt idx="28">
                  <c:v>8093</c:v>
                </c:pt>
                <c:pt idx="29">
                  <c:v>7303</c:v>
                </c:pt>
                <c:pt idx="30">
                  <c:v>4885</c:v>
                </c:pt>
              </c:numCache>
            </c:numRef>
          </c:xVal>
          <c:yVal>
            <c:numRef>
              <c:f>'Sorted Data Table'!$D$77:$D$107</c:f>
              <c:numCache>
                <c:ptCount val="31"/>
                <c:pt idx="0">
                  <c:v>7109</c:v>
                </c:pt>
                <c:pt idx="1">
                  <c:v>8185</c:v>
                </c:pt>
                <c:pt idx="2">
                  <c:v>3009</c:v>
                </c:pt>
                <c:pt idx="3">
                  <c:v>5501</c:v>
                </c:pt>
                <c:pt idx="4">
                  <c:v>2547</c:v>
                </c:pt>
                <c:pt idx="5">
                  <c:v>3472</c:v>
                </c:pt>
                <c:pt idx="6">
                  <c:v>2542</c:v>
                </c:pt>
                <c:pt idx="7">
                  <c:v>2261</c:v>
                </c:pt>
                <c:pt idx="8">
                  <c:v>1792</c:v>
                </c:pt>
                <c:pt idx="9">
                  <c:v>1814</c:v>
                </c:pt>
                <c:pt idx="10">
                  <c:v>3863</c:v>
                </c:pt>
                <c:pt idx="11">
                  <c:v>1247</c:v>
                </c:pt>
                <c:pt idx="12">
                  <c:v>1313</c:v>
                </c:pt>
                <c:pt idx="13">
                  <c:v>1356</c:v>
                </c:pt>
                <c:pt idx="14">
                  <c:v>1365</c:v>
                </c:pt>
                <c:pt idx="15">
                  <c:v>1525</c:v>
                </c:pt>
                <c:pt idx="16">
                  <c:v>5740</c:v>
                </c:pt>
                <c:pt idx="17">
                  <c:v>3890</c:v>
                </c:pt>
                <c:pt idx="18">
                  <c:v>2780</c:v>
                </c:pt>
                <c:pt idx="19">
                  <c:v>1638</c:v>
                </c:pt>
                <c:pt idx="20">
                  <c:v>400</c:v>
                </c:pt>
                <c:pt idx="21">
                  <c:v>800</c:v>
                </c:pt>
                <c:pt idx="22">
                  <c:v>4300</c:v>
                </c:pt>
                <c:pt idx="23">
                  <c:v>500</c:v>
                </c:pt>
                <c:pt idx="24">
                  <c:v>470</c:v>
                </c:pt>
                <c:pt idx="25">
                  <c:v>2611</c:v>
                </c:pt>
                <c:pt idx="26">
                  <c:v>4441</c:v>
                </c:pt>
                <c:pt idx="27">
                  <c:v>4843</c:v>
                </c:pt>
                <c:pt idx="28">
                  <c:v>6702</c:v>
                </c:pt>
                <c:pt idx="29">
                  <c:v>6361</c:v>
                </c:pt>
                <c:pt idx="30">
                  <c:v>4124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'Sorted Data Table'!$E$8</c:f>
              <c:strCache>
                <c:ptCount val="1"/>
                <c:pt idx="0">
                  <c:v>Questionable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'Sorted Data Table'!$G$8:$G$23</c:f>
              <c:numCache>
                <c:ptCount val="16"/>
                <c:pt idx="0">
                  <c:v>1543</c:v>
                </c:pt>
                <c:pt idx="1">
                  <c:v>3366</c:v>
                </c:pt>
                <c:pt idx="2">
                  <c:v>3359</c:v>
                </c:pt>
                <c:pt idx="3">
                  <c:v>2241</c:v>
                </c:pt>
                <c:pt idx="4">
                  <c:v>2226</c:v>
                </c:pt>
                <c:pt idx="5">
                  <c:v>1548</c:v>
                </c:pt>
                <c:pt idx="6">
                  <c:v>2239</c:v>
                </c:pt>
                <c:pt idx="7">
                  <c:v>3222</c:v>
                </c:pt>
                <c:pt idx="8">
                  <c:v>1153</c:v>
                </c:pt>
                <c:pt idx="9">
                  <c:v>4896</c:v>
                </c:pt>
                <c:pt idx="10">
                  <c:v>3664</c:v>
                </c:pt>
                <c:pt idx="11">
                  <c:v>7947</c:v>
                </c:pt>
                <c:pt idx="12">
                  <c:v>8001</c:v>
                </c:pt>
                <c:pt idx="13">
                  <c:v>4611</c:v>
                </c:pt>
                <c:pt idx="14">
                  <c:v>7341</c:v>
                </c:pt>
                <c:pt idx="15">
                  <c:v>7314</c:v>
                </c:pt>
              </c:numCache>
            </c:numRef>
          </c:xVal>
          <c:yVal>
            <c:numRef>
              <c:f>'Sorted Data Table'!$D$8:$D$23</c:f>
              <c:numCache>
                <c:ptCount val="16"/>
                <c:pt idx="0">
                  <c:v>2494</c:v>
                </c:pt>
                <c:pt idx="1">
                  <c:v>3264</c:v>
                </c:pt>
                <c:pt idx="2">
                  <c:v>4095</c:v>
                </c:pt>
                <c:pt idx="3">
                  <c:v>2915</c:v>
                </c:pt>
                <c:pt idx="4">
                  <c:v>2503</c:v>
                </c:pt>
                <c:pt idx="5">
                  <c:v>2069</c:v>
                </c:pt>
                <c:pt idx="6">
                  <c:v>3182</c:v>
                </c:pt>
                <c:pt idx="7">
                  <c:v>4896</c:v>
                </c:pt>
                <c:pt idx="8">
                  <c:v>1116</c:v>
                </c:pt>
                <c:pt idx="9">
                  <c:v>6405</c:v>
                </c:pt>
                <c:pt idx="10">
                  <c:v>3551</c:v>
                </c:pt>
                <c:pt idx="11">
                  <c:v>9039</c:v>
                </c:pt>
                <c:pt idx="12">
                  <c:v>8210</c:v>
                </c:pt>
                <c:pt idx="13">
                  <c:v>4998</c:v>
                </c:pt>
                <c:pt idx="14">
                  <c:v>8057</c:v>
                </c:pt>
                <c:pt idx="15">
                  <c:v>8406</c:v>
                </c:pt>
              </c:numCache>
            </c:numRef>
          </c:yVal>
          <c:smooth val="0"/>
        </c:ser>
        <c:axId val="59230712"/>
        <c:axId val="63314361"/>
      </c:scatterChart>
      <c:valAx>
        <c:axId val="59230712"/>
        <c:scaling>
          <c:orientation val="minMax"/>
          <c:max val="1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latin typeface="Arial"/>
                    <a:ea typeface="Arial"/>
                    <a:cs typeface="Arial"/>
                  </a:rPr>
                  <a:t>Calculated Minimum Flow Rate (Mcf/D)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63314361"/>
        <c:crosses val="autoZero"/>
        <c:crossBetween val="midCat"/>
        <c:dispUnits/>
      </c:valAx>
      <c:valAx>
        <c:axId val="63314361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latin typeface="Arial"/>
                    <a:ea typeface="Arial"/>
                    <a:cs typeface="Arial"/>
                  </a:rPr>
                  <a:t>Test Flow Rate (Mcf/D)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59230712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6"/>
          <c:y val="0.566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9"/>
  </sheetViews>
  <pageMargins left="0.75" right="0.75" top="1" bottom="1" header="0.5" footer="0.5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emf" /><Relationship Id="rId13" Type="http://schemas.openxmlformats.org/officeDocument/2006/relationships/image" Target="../media/image1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2</xdr:row>
      <xdr:rowOff>95250</xdr:rowOff>
    </xdr:from>
    <xdr:ext cx="1790700" cy="676275"/>
    <xdr:sp>
      <xdr:nvSpPr>
        <xdr:cNvPr id="1" name="TextBox 15"/>
        <xdr:cNvSpPr txBox="1">
          <a:spLocks noChangeArrowheads="1"/>
        </xdr:cNvSpPr>
      </xdr:nvSpPr>
      <xdr:spPr>
        <a:xfrm>
          <a:off x="314325" y="457200"/>
          <a:ext cx="17907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1) Update input data in blue;
2) Run Macro "Solution";
3) Veiw result.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0.03525</cdr:y>
    </cdr:from>
    <cdr:to>
      <cdr:x>0.957</cdr:x>
      <cdr:y>0.814</cdr:y>
    </cdr:to>
    <cdr:sp>
      <cdr:nvSpPr>
        <cdr:cNvPr id="1" name="Line 1"/>
        <cdr:cNvSpPr>
          <a:spLocks/>
        </cdr:cNvSpPr>
      </cdr:nvSpPr>
      <cdr:spPr>
        <a:xfrm flipV="1">
          <a:off x="1485900" y="200025"/>
          <a:ext cx="6810375" cy="461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0.576</cdr:x>
      <cdr:y>0.603</cdr:y>
    </cdr:from>
    <cdr:to>
      <cdr:x>0.59375</cdr:x>
      <cdr:y>0.639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3571875"/>
          <a:ext cx="152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?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0.17425</cdr:x>
      <cdr:y>0.033</cdr:y>
    </cdr:from>
    <cdr:to>
      <cdr:x>0.955</cdr:x>
      <cdr:y>0.82075</cdr:y>
    </cdr:to>
    <cdr:sp>
      <cdr:nvSpPr>
        <cdr:cNvPr id="1" name="Line 1"/>
        <cdr:cNvSpPr>
          <a:spLocks/>
        </cdr:cNvSpPr>
      </cdr:nvSpPr>
      <cdr:spPr>
        <a:xfrm flipV="1">
          <a:off x="1504950" y="190500"/>
          <a:ext cx="6772275" cy="467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0.60175</cdr:x>
      <cdr:y>0.6065</cdr:y>
    </cdr:from>
    <cdr:to>
      <cdr:x>0.6205</cdr:x>
      <cdr:y>0.64075</cdr:y>
    </cdr:to>
    <cdr:sp>
      <cdr:nvSpPr>
        <cdr:cNvPr id="2" name="TextBox 2"/>
        <cdr:cNvSpPr txBox="1">
          <a:spLocks noChangeArrowheads="1"/>
        </cdr:cNvSpPr>
      </cdr:nvSpPr>
      <cdr:spPr>
        <a:xfrm>
          <a:off x="5219700" y="3590925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?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7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10.57421875" style="0" customWidth="1"/>
    <col min="3" max="3" width="12.421875" style="0" bestFit="1" customWidth="1"/>
    <col min="6" max="6" width="12.421875" style="0" bestFit="1" customWidth="1"/>
    <col min="7" max="7" width="11.140625" style="3" customWidth="1"/>
    <col min="8" max="8" width="11.00390625" style="3" bestFit="1" customWidth="1"/>
  </cols>
  <sheetData>
    <row r="1" spans="1:7" ht="15.75">
      <c r="A1" s="19" t="s">
        <v>78</v>
      </c>
      <c r="B1" s="20"/>
      <c r="C1" s="20"/>
      <c r="D1" s="20"/>
      <c r="E1" s="20"/>
      <c r="F1" s="20"/>
      <c r="G1" s="21"/>
    </row>
    <row r="2" spans="1:7" ht="12.75">
      <c r="A2" s="4" t="s">
        <v>77</v>
      </c>
      <c r="B2" s="3"/>
      <c r="C2" s="3"/>
      <c r="D2" s="3"/>
      <c r="E2" s="3"/>
      <c r="F2" s="3"/>
      <c r="G2" s="22"/>
    </row>
    <row r="3" spans="1:7" ht="67.5" customHeight="1">
      <c r="A3" s="2"/>
      <c r="B3" s="3"/>
      <c r="C3" s="3"/>
      <c r="D3" s="3"/>
      <c r="E3" s="3"/>
      <c r="F3" s="3"/>
      <c r="G3" s="22"/>
    </row>
    <row r="4" spans="1:7" ht="12.75">
      <c r="A4" s="2"/>
      <c r="B4" s="3"/>
      <c r="C4" s="3"/>
      <c r="D4" s="3"/>
      <c r="E4" s="3"/>
      <c r="F4" s="3"/>
      <c r="G4" s="22"/>
    </row>
    <row r="5" spans="1:7" ht="12.75">
      <c r="A5" s="4" t="s">
        <v>0</v>
      </c>
      <c r="B5" s="3"/>
      <c r="C5" s="3"/>
      <c r="D5" s="3"/>
      <c r="E5" s="3"/>
      <c r="F5" s="3"/>
      <c r="G5" s="22"/>
    </row>
    <row r="6" spans="1:7" ht="12.75">
      <c r="A6" s="2"/>
      <c r="B6" s="3"/>
      <c r="C6" s="3"/>
      <c r="D6" s="3"/>
      <c r="E6" s="3"/>
      <c r="F6" s="3"/>
      <c r="G6" s="22"/>
    </row>
    <row r="7" spans="1:7" ht="12.75">
      <c r="A7" s="2"/>
      <c r="B7" s="3" t="s">
        <v>44</v>
      </c>
      <c r="C7" s="3"/>
      <c r="D7" s="3"/>
      <c r="E7" s="3"/>
      <c r="F7" s="24">
        <v>0.6</v>
      </c>
      <c r="G7" s="22" t="s">
        <v>45</v>
      </c>
    </row>
    <row r="8" spans="1:9" ht="12.75">
      <c r="A8" s="2"/>
      <c r="B8" s="3" t="s">
        <v>24</v>
      </c>
      <c r="C8" s="3"/>
      <c r="D8" s="3"/>
      <c r="E8" s="3"/>
      <c r="F8" s="12">
        <v>0</v>
      </c>
      <c r="G8" s="22" t="s">
        <v>25</v>
      </c>
      <c r="H8" s="3">
        <f>F8/57.3</f>
        <v>0</v>
      </c>
      <c r="I8" t="s">
        <v>26</v>
      </c>
    </row>
    <row r="9" spans="1:7" ht="12.75">
      <c r="A9" s="2"/>
      <c r="B9" s="3" t="s">
        <v>5</v>
      </c>
      <c r="C9" s="3"/>
      <c r="D9" s="3"/>
      <c r="E9" s="3"/>
      <c r="F9" s="24">
        <v>6700</v>
      </c>
      <c r="G9" s="22" t="s">
        <v>1</v>
      </c>
    </row>
    <row r="10" spans="1:9" ht="14.25">
      <c r="A10" s="2"/>
      <c r="B10" s="3" t="s">
        <v>6</v>
      </c>
      <c r="C10" s="3"/>
      <c r="D10" s="3"/>
      <c r="E10" s="3"/>
      <c r="F10" s="24">
        <v>500</v>
      </c>
      <c r="G10" s="22" t="s">
        <v>2</v>
      </c>
      <c r="H10" s="3">
        <f>F10*144</f>
        <v>72000</v>
      </c>
      <c r="I10" t="s">
        <v>3</v>
      </c>
    </row>
    <row r="11" spans="1:9" ht="14.25">
      <c r="A11" s="2"/>
      <c r="B11" s="3" t="s">
        <v>27</v>
      </c>
      <c r="C11" s="3"/>
      <c r="D11" s="3"/>
      <c r="E11" s="3"/>
      <c r="F11" s="11">
        <v>60</v>
      </c>
      <c r="G11" s="22" t="s">
        <v>28</v>
      </c>
      <c r="H11" s="3">
        <f>F11+460</f>
        <v>520</v>
      </c>
      <c r="I11" t="s">
        <v>29</v>
      </c>
    </row>
    <row r="12" spans="1:9" ht="14.25">
      <c r="A12" s="2"/>
      <c r="B12" s="3" t="s">
        <v>30</v>
      </c>
      <c r="C12" s="3"/>
      <c r="D12" s="3"/>
      <c r="E12" s="3"/>
      <c r="F12" s="11">
        <f>F11+0.01*F9</f>
        <v>127</v>
      </c>
      <c r="G12" s="22" t="s">
        <v>28</v>
      </c>
      <c r="H12" s="3">
        <f>F12+460</f>
        <v>587</v>
      </c>
      <c r="I12" t="s">
        <v>29</v>
      </c>
    </row>
    <row r="13" spans="1:9" ht="12.75">
      <c r="A13" s="2"/>
      <c r="B13" s="3" t="s">
        <v>4</v>
      </c>
      <c r="C13" s="3"/>
      <c r="D13" s="3"/>
      <c r="E13" s="3"/>
      <c r="F13" s="11">
        <v>70.8</v>
      </c>
      <c r="G13" s="22" t="s">
        <v>7</v>
      </c>
      <c r="H13" s="3">
        <f>(141.5-F13)/131.5</f>
        <v>0.5376425855513308</v>
      </c>
      <c r="I13" t="s">
        <v>8</v>
      </c>
    </row>
    <row r="14" spans="1:10" ht="12.75">
      <c r="A14" s="2"/>
      <c r="B14" s="3" t="s">
        <v>9</v>
      </c>
      <c r="C14" s="3"/>
      <c r="D14" s="3"/>
      <c r="E14" s="3"/>
      <c r="F14" s="11">
        <v>0</v>
      </c>
      <c r="G14" s="22" t="s">
        <v>13</v>
      </c>
      <c r="H14" s="3">
        <f>F14*F43/1000</f>
        <v>0</v>
      </c>
      <c r="I14" t="s">
        <v>15</v>
      </c>
      <c r="J14" s="25"/>
    </row>
    <row r="15" spans="1:7" ht="12.75">
      <c r="A15" s="2"/>
      <c r="B15" s="3" t="s">
        <v>34</v>
      </c>
      <c r="C15" s="3"/>
      <c r="D15" s="3"/>
      <c r="E15" s="3"/>
      <c r="F15" s="11">
        <v>1.08</v>
      </c>
      <c r="G15" s="22" t="s">
        <v>8</v>
      </c>
    </row>
    <row r="16" spans="1:9" ht="12.75">
      <c r="A16" s="2"/>
      <c r="B16" s="3" t="s">
        <v>14</v>
      </c>
      <c r="C16" s="3"/>
      <c r="D16" s="3"/>
      <c r="E16" s="3"/>
      <c r="F16" s="11">
        <v>10.5</v>
      </c>
      <c r="G16" s="22" t="s">
        <v>13</v>
      </c>
      <c r="H16" s="3">
        <f>F16*F43/1000</f>
        <v>8.674498276991306</v>
      </c>
      <c r="I16" t="s">
        <v>15</v>
      </c>
    </row>
    <row r="17" spans="1:7" ht="12.75">
      <c r="A17" s="2"/>
      <c r="B17" s="3" t="s">
        <v>35</v>
      </c>
      <c r="C17" s="3"/>
      <c r="D17" s="3"/>
      <c r="E17" s="3"/>
      <c r="F17" s="11">
        <v>2.65</v>
      </c>
      <c r="G17" s="22" t="s">
        <v>8</v>
      </c>
    </row>
    <row r="18" spans="1:9" ht="14.25">
      <c r="A18" s="2"/>
      <c r="B18" s="3" t="s">
        <v>31</v>
      </c>
      <c r="C18" s="3"/>
      <c r="D18" s="3"/>
      <c r="E18" s="3"/>
      <c r="F18" s="13">
        <v>0</v>
      </c>
      <c r="G18" s="22" t="s">
        <v>32</v>
      </c>
      <c r="H18" s="3">
        <f>F18*F43/1000</f>
        <v>0</v>
      </c>
      <c r="I18" t="s">
        <v>33</v>
      </c>
    </row>
    <row r="19" spans="1:9" ht="12.75">
      <c r="A19" s="2"/>
      <c r="B19" s="3" t="s">
        <v>16</v>
      </c>
      <c r="C19" s="3"/>
      <c r="D19" s="3"/>
      <c r="E19" s="3"/>
      <c r="F19" s="24">
        <v>1.995</v>
      </c>
      <c r="G19" s="22" t="s">
        <v>17</v>
      </c>
      <c r="H19" s="3">
        <f>F19/12</f>
        <v>0.16625</v>
      </c>
      <c r="I19" t="s">
        <v>1</v>
      </c>
    </row>
    <row r="20" spans="1:9" ht="12.75">
      <c r="A20" s="2"/>
      <c r="B20" s="3" t="s">
        <v>18</v>
      </c>
      <c r="C20" s="3"/>
      <c r="D20" s="3"/>
      <c r="E20" s="3"/>
      <c r="F20" s="11">
        <v>0</v>
      </c>
      <c r="G20" s="22" t="s">
        <v>17</v>
      </c>
      <c r="H20" s="3">
        <f>F20/12</f>
        <v>0</v>
      </c>
      <c r="I20" t="s">
        <v>1</v>
      </c>
    </row>
    <row r="21" spans="1:9" ht="14.25" customHeight="1">
      <c r="A21" s="2"/>
      <c r="B21" s="3" t="s">
        <v>20</v>
      </c>
      <c r="C21" s="3"/>
      <c r="D21" s="3"/>
      <c r="E21" s="3"/>
      <c r="F21" s="11">
        <v>1.5E-05</v>
      </c>
      <c r="G21" s="22" t="s">
        <v>17</v>
      </c>
      <c r="H21" s="3">
        <f>F21/12</f>
        <v>1.25E-06</v>
      </c>
      <c r="I21" t="s">
        <v>1</v>
      </c>
    </row>
    <row r="22" spans="1:7" ht="14.25" customHeight="1">
      <c r="A22" s="2"/>
      <c r="B22" s="26" t="s">
        <v>79</v>
      </c>
      <c r="C22" s="3"/>
      <c r="D22" s="3"/>
      <c r="E22" s="3"/>
      <c r="F22" s="11">
        <v>1</v>
      </c>
      <c r="G22" s="22"/>
    </row>
    <row r="23" spans="1:8" ht="14.25" customHeight="1">
      <c r="A23" s="2"/>
      <c r="B23" s="3" t="s">
        <v>39</v>
      </c>
      <c r="C23" s="3"/>
      <c r="D23" s="3"/>
      <c r="E23" s="3"/>
      <c r="F23" s="11">
        <f>(1+F22)/2*60+(1-F22)/2*20</f>
        <v>60</v>
      </c>
      <c r="G23" s="22" t="s">
        <v>37</v>
      </c>
      <c r="H23" s="3" t="s">
        <v>69</v>
      </c>
    </row>
    <row r="24" spans="1:8" ht="14.25" customHeight="1">
      <c r="A24" s="2"/>
      <c r="B24" s="3" t="s">
        <v>40</v>
      </c>
      <c r="C24" s="3"/>
      <c r="D24" s="3"/>
      <c r="E24" s="3"/>
      <c r="F24" s="27">
        <f>(1+F22)/2*F15*62.4+(1-F22)/2*H13*62.4</f>
        <v>67.392</v>
      </c>
      <c r="G24" s="22" t="s">
        <v>38</v>
      </c>
      <c r="H24" s="3" t="s">
        <v>68</v>
      </c>
    </row>
    <row r="25" spans="1:7" ht="12.75">
      <c r="A25" s="2"/>
      <c r="B25" s="3"/>
      <c r="C25" s="3"/>
      <c r="D25" s="3"/>
      <c r="E25" s="3"/>
      <c r="F25" s="3"/>
      <c r="G25" s="22"/>
    </row>
    <row r="26" spans="1:7" ht="12.75">
      <c r="A26" s="4" t="s">
        <v>19</v>
      </c>
      <c r="B26" s="3"/>
      <c r="C26" s="3"/>
      <c r="D26" s="3"/>
      <c r="E26" s="3"/>
      <c r="F26" s="3"/>
      <c r="G26" s="22"/>
    </row>
    <row r="27" spans="1:7" ht="12.75">
      <c r="A27" s="2"/>
      <c r="B27" s="3"/>
      <c r="C27" s="3"/>
      <c r="D27" s="3"/>
      <c r="E27" s="3"/>
      <c r="F27" s="3"/>
      <c r="G27" s="22"/>
    </row>
    <row r="28" spans="1:7" ht="12.75">
      <c r="A28" s="2"/>
      <c r="B28" s="3" t="s">
        <v>21</v>
      </c>
      <c r="C28" s="3"/>
      <c r="D28" s="3"/>
      <c r="E28" s="3"/>
      <c r="F28" s="5">
        <f>(F19-F20)/12</f>
        <v>0.16625</v>
      </c>
      <c r="G28" s="22" t="s">
        <v>1</v>
      </c>
    </row>
    <row r="29" spans="1:7" ht="14.25">
      <c r="A29" s="2"/>
      <c r="B29" s="3" t="s">
        <v>22</v>
      </c>
      <c r="C29" s="3"/>
      <c r="D29" s="3"/>
      <c r="E29" s="3"/>
      <c r="F29" s="5">
        <f>3.14/4*(F19^2-F20^2)/144</f>
        <v>0.021696664062500003</v>
      </c>
      <c r="G29" s="22" t="s">
        <v>23</v>
      </c>
    </row>
    <row r="30" spans="1:7" ht="14.25">
      <c r="A30" s="2"/>
      <c r="B30" s="3" t="s">
        <v>36</v>
      </c>
      <c r="C30" s="3"/>
      <c r="D30" s="3"/>
      <c r="E30" s="3"/>
      <c r="F30" s="3">
        <f>(H11+H12)/2</f>
        <v>553.5</v>
      </c>
      <c r="G30" s="22" t="s">
        <v>29</v>
      </c>
    </row>
    <row r="31" spans="1:7" ht="14.25">
      <c r="A31" s="2"/>
      <c r="B31" s="3" t="s">
        <v>41</v>
      </c>
      <c r="C31" s="3"/>
      <c r="D31" s="3"/>
      <c r="E31" s="3"/>
      <c r="F31" s="5">
        <f>0.0576*SQRT(F23*F24)</f>
        <v>3.6627078664834842</v>
      </c>
      <c r="G31" s="22" t="s">
        <v>42</v>
      </c>
    </row>
    <row r="32" spans="1:7" ht="12.75">
      <c r="A32" s="2"/>
      <c r="B32" s="3"/>
      <c r="C32" s="3"/>
      <c r="D32" s="3"/>
      <c r="E32" s="3"/>
      <c r="F32" s="3"/>
      <c r="G32" s="22"/>
    </row>
    <row r="33" spans="1:7" ht="12.75">
      <c r="A33" s="2"/>
      <c r="B33" s="3" t="s">
        <v>43</v>
      </c>
      <c r="C33" s="3"/>
      <c r="D33" s="3"/>
      <c r="E33" s="3"/>
      <c r="F33" s="3">
        <f>(15.33*F17*H18+86.07*(F15*H16+H13*H14)+0.01879*F7*H43)/(F30*H43)*COS(H8)</f>
        <v>2.2131949051490518E-05</v>
      </c>
      <c r="G33" s="22"/>
    </row>
    <row r="34" spans="1:7" ht="12.75">
      <c r="A34" s="2"/>
      <c r="B34" s="3" t="s">
        <v>46</v>
      </c>
      <c r="C34" s="3"/>
      <c r="D34" s="3"/>
      <c r="E34" s="3"/>
      <c r="F34" s="3">
        <f>(0.2456*H18+1.379*(H16+H14))/(F30*H43)</f>
        <v>2.615989159891599E-08</v>
      </c>
      <c r="G34" s="22"/>
    </row>
    <row r="35" spans="1:7" ht="12.75">
      <c r="A35" s="2"/>
      <c r="B35" s="3" t="s">
        <v>47</v>
      </c>
      <c r="C35" s="3"/>
      <c r="D35" s="3"/>
      <c r="E35" s="3"/>
      <c r="F35" s="3">
        <f>4.712/100000*F30*H43/F29</f>
        <v>993081.7670343375</v>
      </c>
      <c r="G35" s="22"/>
    </row>
    <row r="36" spans="1:7" ht="12.75">
      <c r="A36" s="2"/>
      <c r="B36" s="3" t="s">
        <v>48</v>
      </c>
      <c r="C36" s="3"/>
      <c r="D36" s="3"/>
      <c r="E36" s="3"/>
      <c r="F36" s="3">
        <f>(H18+5.615*(H16+H14))/(86400*F29)</f>
        <v>0.025982887834502623</v>
      </c>
      <c r="G36" s="22"/>
    </row>
    <row r="37" spans="1:7" ht="12.75">
      <c r="A37" s="2"/>
      <c r="B37" s="3" t="s">
        <v>49</v>
      </c>
      <c r="C37" s="3"/>
      <c r="D37" s="3"/>
      <c r="E37" s="3"/>
      <c r="F37" s="3">
        <f>F38/(2*32.17*F28*COS(H8))</f>
        <v>0.0007211774568933434</v>
      </c>
      <c r="G37" s="22"/>
    </row>
    <row r="38" spans="1:7" ht="12.75">
      <c r="A38" s="2"/>
      <c r="B38" s="3" t="s">
        <v>50</v>
      </c>
      <c r="C38" s="3"/>
      <c r="D38" s="3"/>
      <c r="E38" s="3"/>
      <c r="F38" s="3">
        <f>(1/(1.74-2*LOG(2*H21/F28)))^2</f>
        <v>0.007714092697096071</v>
      </c>
      <c r="G38" s="22"/>
    </row>
    <row r="39" spans="1:7" ht="12.75">
      <c r="A39" s="2"/>
      <c r="B39" s="3" t="s">
        <v>51</v>
      </c>
      <c r="C39" s="3"/>
      <c r="D39" s="3"/>
      <c r="E39" s="3"/>
      <c r="F39" s="3">
        <f>F35*F36*F37/(1+F36^2*F37)</f>
        <v>18.60862817337693</v>
      </c>
      <c r="G39" s="22"/>
    </row>
    <row r="40" spans="1:7" ht="12.75">
      <c r="A40" s="2"/>
      <c r="B40" s="3" t="s">
        <v>52</v>
      </c>
      <c r="C40" s="3"/>
      <c r="D40" s="3"/>
      <c r="E40" s="3"/>
      <c r="F40" s="3">
        <f>F35^2*F37/(1+F36^2*F37)^2</f>
        <v>711232733.9758297</v>
      </c>
      <c r="G40" s="22"/>
    </row>
    <row r="41" spans="1:7" ht="12.75">
      <c r="A41" s="2"/>
      <c r="B41" s="3"/>
      <c r="C41" s="3"/>
      <c r="D41" s="3"/>
      <c r="E41" s="3"/>
      <c r="F41" s="3"/>
      <c r="G41" s="22"/>
    </row>
    <row r="42" spans="1:7" ht="12.75">
      <c r="A42" s="4" t="s">
        <v>53</v>
      </c>
      <c r="B42" s="3"/>
      <c r="C42" s="3"/>
      <c r="D42" s="3"/>
      <c r="E42" s="3"/>
      <c r="F42" s="3">
        <v>112589655139.9424</v>
      </c>
      <c r="G42" s="22"/>
    </row>
    <row r="43" spans="1:12" ht="14.25">
      <c r="A43" s="2"/>
      <c r="B43" s="3" t="s">
        <v>10</v>
      </c>
      <c r="C43" s="3"/>
      <c r="D43" s="3"/>
      <c r="E43" s="3"/>
      <c r="F43" s="18">
        <v>826.142693046791</v>
      </c>
      <c r="G43" s="22" t="s">
        <v>11</v>
      </c>
      <c r="H43" s="3">
        <f>F43*1000</f>
        <v>826142.693046791</v>
      </c>
      <c r="I43" t="s">
        <v>12</v>
      </c>
      <c r="K43">
        <f>H43/24/60</f>
        <v>573.710203504716</v>
      </c>
      <c r="L43" t="s">
        <v>63</v>
      </c>
    </row>
    <row r="44" spans="1:9" ht="14.25">
      <c r="A44" s="2"/>
      <c r="B44" s="3" t="s">
        <v>55</v>
      </c>
      <c r="C44" s="3"/>
      <c r="D44" s="3"/>
      <c r="E44" s="3"/>
      <c r="F44" s="6">
        <f>H44/144</f>
        <v>589.7403225179103</v>
      </c>
      <c r="G44" s="22" t="s">
        <v>54</v>
      </c>
      <c r="H44" s="3">
        <f>6.46/10000000000000*F7*F30*H43^2/F29^2/F31</f>
        <v>84922.60644257908</v>
      </c>
      <c r="I44" t="s">
        <v>3</v>
      </c>
    </row>
    <row r="45" spans="1:7" ht="16.5" thickBot="1">
      <c r="A45" s="7"/>
      <c r="B45" s="8" t="s">
        <v>56</v>
      </c>
      <c r="C45" s="8"/>
      <c r="D45" s="8"/>
      <c r="E45" s="8"/>
      <c r="F45" s="9">
        <f>F34*F51+F55*LN((F52^2+F40)/(F53^2+F40))-F56/F54*(ATAN(F52/F54)-ATAN(F53/F54))-F57</f>
        <v>-0.00019110189634272134</v>
      </c>
      <c r="G45" s="23"/>
    </row>
    <row r="46" ht="24" customHeight="1"/>
    <row r="51" spans="2:6" ht="12.75">
      <c r="B51" t="s">
        <v>57</v>
      </c>
      <c r="F51">
        <f>H44-H10</f>
        <v>12922.606442579083</v>
      </c>
    </row>
    <row r="52" spans="2:6" ht="12.75">
      <c r="B52" t="s">
        <v>58</v>
      </c>
      <c r="F52">
        <f>H44+F39</f>
        <v>84941.21507075246</v>
      </c>
    </row>
    <row r="53" spans="2:6" ht="12.75">
      <c r="B53" t="s">
        <v>59</v>
      </c>
      <c r="F53">
        <f>H10+F39</f>
        <v>72018.60862817337</v>
      </c>
    </row>
    <row r="54" spans="2:6" ht="12.75">
      <c r="B54" t="s">
        <v>60</v>
      </c>
      <c r="F54">
        <f>SQRT(F40)</f>
        <v>26668.94699788182</v>
      </c>
    </row>
    <row r="55" spans="2:6" ht="12.75">
      <c r="B55" t="s">
        <v>61</v>
      </c>
      <c r="F55">
        <f>(1-2*F34*F39)/2</f>
        <v>0.49999951320030417</v>
      </c>
    </row>
    <row r="56" spans="2:6" ht="12.75">
      <c r="B56" t="s">
        <v>76</v>
      </c>
      <c r="F56">
        <f>F39+F34/F35*F40-F34*F39^2</f>
        <v>18.608637850089387</v>
      </c>
    </row>
    <row r="57" spans="2:6" ht="12.75">
      <c r="B57" t="s">
        <v>62</v>
      </c>
      <c r="F57">
        <f>F33*(1+F36^2*F37)*F9</f>
        <v>0.1482841308407052</v>
      </c>
    </row>
  </sheetData>
  <printOptions/>
  <pageMargins left="0.75" right="0.75" top="1" bottom="1" header="0.5" footer="0.5"/>
  <pageSetup horizontalDpi="300" verticalDpi="300" orientation="portrait" r:id="rId16"/>
  <drawing r:id="rId15"/>
  <legacyDrawing r:id="rId14"/>
  <oleObjects>
    <oleObject progId="Equation.3" shapeId="14469307" r:id="rId1"/>
    <oleObject progId="Equation.3" shapeId="14548820" r:id="rId2"/>
    <oleObject progId="Equation.3" shapeId="14563712" r:id="rId3"/>
    <oleObject progId="Equation.3" shapeId="14564276" r:id="rId4"/>
    <oleObject progId="Equation.3" shapeId="14564837" r:id="rId5"/>
    <oleObject progId="Equation.3" shapeId="14565305" r:id="rId6"/>
    <oleObject progId="Equation.3" shapeId="14566322" r:id="rId7"/>
    <oleObject progId="Equation.3" shapeId="14567055" r:id="rId8"/>
    <oleObject progId="Equation.3" shapeId="14567517" r:id="rId9"/>
    <oleObject progId="Equation.3" shapeId="14651304" r:id="rId10"/>
    <oleObject progId="Equation.3" shapeId="14673937" r:id="rId11"/>
    <oleObject progId="Equation.3" shapeId="14674448" r:id="rId12"/>
    <oleObject progId="Equation.3" shapeId="14675005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G107"/>
  <sheetViews>
    <sheetView workbookViewId="0" topLeftCell="A67">
      <selection activeCell="A85" sqref="A85"/>
    </sheetView>
  </sheetViews>
  <sheetFormatPr defaultColWidth="9.140625" defaultRowHeight="12.75"/>
  <cols>
    <col min="1" max="1" width="11.57421875" style="0" customWidth="1"/>
    <col min="3" max="3" width="6.28125" style="1" customWidth="1"/>
    <col min="5" max="5" width="16.00390625" style="0" customWidth="1"/>
    <col min="6" max="6" width="11.57421875" style="0" customWidth="1"/>
    <col min="7" max="7" width="8.140625" style="0" customWidth="1"/>
    <col min="12" max="12" width="13.57421875" style="0" customWidth="1"/>
  </cols>
  <sheetData>
    <row r="1" spans="1:7" ht="51">
      <c r="A1" s="10" t="s">
        <v>65</v>
      </c>
      <c r="C1" s="16" t="s">
        <v>70</v>
      </c>
      <c r="D1" s="10" t="s">
        <v>64</v>
      </c>
      <c r="E1" s="10" t="s">
        <v>67</v>
      </c>
      <c r="F1" s="10" t="s">
        <v>74</v>
      </c>
      <c r="G1" s="10" t="s">
        <v>66</v>
      </c>
    </row>
    <row r="2" spans="1:7" ht="12.75">
      <c r="A2" s="14">
        <v>779</v>
      </c>
      <c r="C2" s="17">
        <v>1</v>
      </c>
      <c r="D2" s="14">
        <v>775</v>
      </c>
      <c r="E2" s="14" t="s">
        <v>75</v>
      </c>
      <c r="F2" s="14">
        <f aca="true" t="shared" si="0" ref="F2:F33">1.2*A2</f>
        <v>934.8</v>
      </c>
      <c r="G2" s="14">
        <v>961</v>
      </c>
    </row>
    <row r="3" spans="1:7" ht="12.75">
      <c r="A3" s="14">
        <v>583</v>
      </c>
      <c r="C3" s="17">
        <f>C2+1</f>
        <v>2</v>
      </c>
      <c r="D3" s="14">
        <v>417</v>
      </c>
      <c r="E3" s="14" t="s">
        <v>75</v>
      </c>
      <c r="F3" s="14">
        <f t="shared" si="0"/>
        <v>699.6</v>
      </c>
      <c r="G3" s="14">
        <v>744</v>
      </c>
    </row>
    <row r="4" spans="1:7" ht="12.75">
      <c r="A4" s="14">
        <v>306</v>
      </c>
      <c r="C4" s="17">
        <f>C3+1</f>
        <v>3</v>
      </c>
      <c r="D4" s="14">
        <v>568</v>
      </c>
      <c r="E4" s="14" t="s">
        <v>75</v>
      </c>
      <c r="F4" s="14">
        <f t="shared" si="0"/>
        <v>367.2</v>
      </c>
      <c r="G4" s="14">
        <v>591</v>
      </c>
    </row>
    <row r="5" spans="1:7" ht="12.75">
      <c r="A5" s="14">
        <v>661</v>
      </c>
      <c r="C5" s="17">
        <f>C4+1</f>
        <v>4</v>
      </c>
      <c r="D5" s="14">
        <v>712</v>
      </c>
      <c r="E5" s="14" t="s">
        <v>75</v>
      </c>
      <c r="F5" s="14">
        <f t="shared" si="0"/>
        <v>793.1999999999999</v>
      </c>
      <c r="G5" s="14">
        <v>861</v>
      </c>
    </row>
    <row r="6" spans="1:7" ht="12.75">
      <c r="A6" s="14">
        <v>419</v>
      </c>
      <c r="C6" s="17">
        <f>C5+1</f>
        <v>5</v>
      </c>
      <c r="D6" s="14">
        <v>442</v>
      </c>
      <c r="E6" s="14" t="s">
        <v>75</v>
      </c>
      <c r="F6" s="14">
        <f t="shared" si="0"/>
        <v>502.79999999999995</v>
      </c>
      <c r="G6" s="14">
        <v>514</v>
      </c>
    </row>
    <row r="7" spans="1:7" ht="12.75">
      <c r="A7" s="14">
        <v>958</v>
      </c>
      <c r="C7" s="17">
        <f>C91+1</f>
        <v>97</v>
      </c>
      <c r="D7" s="14">
        <v>1607</v>
      </c>
      <c r="E7" s="14" t="s">
        <v>75</v>
      </c>
      <c r="F7" s="14">
        <f t="shared" si="0"/>
        <v>1149.6</v>
      </c>
      <c r="G7" s="14">
        <v>1327</v>
      </c>
    </row>
    <row r="8" spans="1:7" ht="12.75">
      <c r="A8" s="14">
        <v>1158</v>
      </c>
      <c r="C8" s="17">
        <f>C62+1</f>
        <v>8</v>
      </c>
      <c r="D8" s="14">
        <v>2494</v>
      </c>
      <c r="E8" s="14" t="s">
        <v>73</v>
      </c>
      <c r="F8" s="14">
        <f t="shared" si="0"/>
        <v>1389.6</v>
      </c>
      <c r="G8" s="14">
        <v>1543</v>
      </c>
    </row>
    <row r="9" spans="1:7" ht="12.75">
      <c r="A9" s="14">
        <v>2401</v>
      </c>
      <c r="C9" s="17">
        <f>C102+1</f>
        <v>11</v>
      </c>
      <c r="D9" s="14">
        <v>3264</v>
      </c>
      <c r="E9" s="14" t="s">
        <v>73</v>
      </c>
      <c r="F9" s="14">
        <f t="shared" si="0"/>
        <v>2881.2</v>
      </c>
      <c r="G9" s="14">
        <v>3366</v>
      </c>
    </row>
    <row r="10" spans="1:7" ht="12.75">
      <c r="A10" s="14">
        <v>2395</v>
      </c>
      <c r="C10" s="17">
        <f>C9+1</f>
        <v>12</v>
      </c>
      <c r="D10" s="14">
        <v>4095</v>
      </c>
      <c r="E10" s="14" t="s">
        <v>73</v>
      </c>
      <c r="F10" s="14">
        <f t="shared" si="0"/>
        <v>2874</v>
      </c>
      <c r="G10" s="14">
        <v>3359</v>
      </c>
    </row>
    <row r="11" spans="1:7" ht="12.75">
      <c r="A11" s="14">
        <v>1600</v>
      </c>
      <c r="C11" s="17">
        <f>C86+1</f>
        <v>14</v>
      </c>
      <c r="D11" s="14">
        <v>2915</v>
      </c>
      <c r="E11" s="14" t="s">
        <v>73</v>
      </c>
      <c r="F11" s="14">
        <f t="shared" si="0"/>
        <v>1920</v>
      </c>
      <c r="G11" s="14">
        <v>2241</v>
      </c>
    </row>
    <row r="12" spans="1:7" ht="12.75">
      <c r="A12" s="14">
        <v>1610</v>
      </c>
      <c r="C12" s="17">
        <f>C84+1</f>
        <v>18</v>
      </c>
      <c r="D12" s="14">
        <v>2503</v>
      </c>
      <c r="E12" s="14" t="s">
        <v>73</v>
      </c>
      <c r="F12" s="14">
        <f t="shared" si="0"/>
        <v>1932</v>
      </c>
      <c r="G12" s="14">
        <v>2226</v>
      </c>
    </row>
    <row r="13" spans="1:7" ht="12.75">
      <c r="A13" s="14">
        <v>1901</v>
      </c>
      <c r="C13" s="17">
        <f>C65+1</f>
        <v>20</v>
      </c>
      <c r="D13" s="14">
        <v>2069</v>
      </c>
      <c r="E13" s="14" t="s">
        <v>73</v>
      </c>
      <c r="F13" s="14">
        <f t="shared" si="0"/>
        <v>2281.2</v>
      </c>
      <c r="G13" s="14">
        <v>1548</v>
      </c>
    </row>
    <row r="14" spans="1:7" ht="12.75">
      <c r="A14" s="14">
        <v>1654</v>
      </c>
      <c r="C14" s="17">
        <f>C83+1</f>
        <v>23</v>
      </c>
      <c r="D14" s="14">
        <v>3182</v>
      </c>
      <c r="E14" s="14" t="s">
        <v>73</v>
      </c>
      <c r="F14" s="14">
        <f t="shared" si="0"/>
        <v>1984.8</v>
      </c>
      <c r="G14" s="14">
        <v>2239</v>
      </c>
    </row>
    <row r="15" spans="1:7" ht="12.75">
      <c r="A15" s="14">
        <v>1941</v>
      </c>
      <c r="C15" s="17">
        <f>C82+1</f>
        <v>28</v>
      </c>
      <c r="D15" s="14">
        <v>4896</v>
      </c>
      <c r="E15" s="14" t="s">
        <v>73</v>
      </c>
      <c r="F15" s="14">
        <f t="shared" si="0"/>
        <v>2329.2</v>
      </c>
      <c r="G15" s="14">
        <v>3222</v>
      </c>
    </row>
    <row r="16" spans="1:7" ht="12.75">
      <c r="A16" s="14">
        <v>936</v>
      </c>
      <c r="C16" s="17">
        <f>C69+1</f>
        <v>30</v>
      </c>
      <c r="D16" s="14">
        <v>1116</v>
      </c>
      <c r="E16" s="14" t="s">
        <v>73</v>
      </c>
      <c r="F16" s="14">
        <f t="shared" si="0"/>
        <v>1123.2</v>
      </c>
      <c r="G16" s="14">
        <v>1153</v>
      </c>
    </row>
    <row r="17" spans="1:7" ht="12.75">
      <c r="A17" s="14">
        <v>3757</v>
      </c>
      <c r="C17" s="17">
        <f>C80+1</f>
        <v>33</v>
      </c>
      <c r="D17" s="14">
        <v>6405</v>
      </c>
      <c r="E17" s="14" t="s">
        <v>73</v>
      </c>
      <c r="F17" s="14">
        <f t="shared" si="0"/>
        <v>4508.4</v>
      </c>
      <c r="G17" s="14">
        <v>4896</v>
      </c>
    </row>
    <row r="18" spans="1:7" ht="12.75">
      <c r="A18" s="14">
        <v>3233</v>
      </c>
      <c r="C18" s="17">
        <f>C79+1</f>
        <v>36</v>
      </c>
      <c r="D18" s="14">
        <v>3551</v>
      </c>
      <c r="E18" s="14" t="s">
        <v>73</v>
      </c>
      <c r="F18" s="14">
        <f t="shared" si="0"/>
        <v>3879.6</v>
      </c>
      <c r="G18" s="14">
        <v>3664</v>
      </c>
    </row>
    <row r="19" spans="1:7" ht="12.75">
      <c r="A19" s="14">
        <v>5902</v>
      </c>
      <c r="C19" s="17">
        <f>C78+1</f>
        <v>42</v>
      </c>
      <c r="D19" s="14">
        <v>9039</v>
      </c>
      <c r="E19" s="14" t="s">
        <v>73</v>
      </c>
      <c r="F19" s="14">
        <f t="shared" si="0"/>
        <v>7082.4</v>
      </c>
      <c r="G19" s="14">
        <v>7947</v>
      </c>
    </row>
    <row r="20" spans="1:7" ht="12.75">
      <c r="A20" s="14">
        <v>6015</v>
      </c>
      <c r="C20" s="17">
        <f>C105+1</f>
        <v>45</v>
      </c>
      <c r="D20" s="14">
        <v>8210</v>
      </c>
      <c r="E20" s="14" t="s">
        <v>73</v>
      </c>
      <c r="F20" s="14">
        <f t="shared" si="0"/>
        <v>7218</v>
      </c>
      <c r="G20" s="14">
        <v>8001</v>
      </c>
    </row>
    <row r="21" spans="1:7" ht="12.75">
      <c r="A21" s="14">
        <v>3412</v>
      </c>
      <c r="C21" s="17">
        <f>C107+1</f>
        <v>55</v>
      </c>
      <c r="D21" s="14">
        <v>4998</v>
      </c>
      <c r="E21" s="14" t="s">
        <v>73</v>
      </c>
      <c r="F21" s="14">
        <f t="shared" si="0"/>
        <v>4094.3999999999996</v>
      </c>
      <c r="G21" s="14">
        <v>4611</v>
      </c>
    </row>
    <row r="22" spans="1:7" ht="12.75">
      <c r="A22" s="14">
        <v>5671</v>
      </c>
      <c r="C22" s="17">
        <f>C106+1</f>
        <v>51</v>
      </c>
      <c r="D22" s="14">
        <v>8057</v>
      </c>
      <c r="E22" s="14" t="s">
        <v>73</v>
      </c>
      <c r="F22" s="14">
        <f t="shared" si="0"/>
        <v>6805.2</v>
      </c>
      <c r="G22" s="14">
        <v>7341</v>
      </c>
    </row>
    <row r="23" spans="1:7" ht="12.75">
      <c r="A23" s="14">
        <v>5559</v>
      </c>
      <c r="C23" s="17">
        <f>C77+1</f>
        <v>48</v>
      </c>
      <c r="D23" s="14">
        <v>8406</v>
      </c>
      <c r="E23" s="14" t="s">
        <v>73</v>
      </c>
      <c r="F23" s="14">
        <f t="shared" si="0"/>
        <v>6670.8</v>
      </c>
      <c r="G23" s="14">
        <v>7314</v>
      </c>
    </row>
    <row r="24" spans="1:7" ht="12.75">
      <c r="A24" s="14">
        <v>5485</v>
      </c>
      <c r="C24" s="17">
        <f>C22+1</f>
        <v>52</v>
      </c>
      <c r="D24" s="14">
        <v>9860</v>
      </c>
      <c r="E24" s="14" t="s">
        <v>72</v>
      </c>
      <c r="F24" s="14">
        <f t="shared" si="0"/>
        <v>6582</v>
      </c>
      <c r="G24" s="14">
        <v>7157</v>
      </c>
    </row>
    <row r="25" spans="1:7" ht="12.75">
      <c r="A25" s="14">
        <v>5212</v>
      </c>
      <c r="C25" s="17">
        <f>C24+1</f>
        <v>53</v>
      </c>
      <c r="D25" s="14">
        <v>11767</v>
      </c>
      <c r="E25" s="14" t="s">
        <v>72</v>
      </c>
      <c r="F25" s="14">
        <f t="shared" si="0"/>
        <v>6254.4</v>
      </c>
      <c r="G25" s="14">
        <v>6795</v>
      </c>
    </row>
    <row r="26" spans="1:7" ht="12.75">
      <c r="A26" s="14">
        <v>3199</v>
      </c>
      <c r="C26" s="17">
        <f>C21+1</f>
        <v>56</v>
      </c>
      <c r="D26" s="14">
        <v>6423</v>
      </c>
      <c r="E26" s="14" t="s">
        <v>72</v>
      </c>
      <c r="F26" s="14">
        <f t="shared" si="0"/>
        <v>3838.7999999999997</v>
      </c>
      <c r="G26" s="14">
        <v>4327</v>
      </c>
    </row>
    <row r="27" spans="1:7" ht="12.75">
      <c r="A27" s="14">
        <v>1239</v>
      </c>
      <c r="C27" s="17">
        <f aca="true" t="shared" si="1" ref="C27:C36">C26+1</f>
        <v>57</v>
      </c>
      <c r="D27" s="14">
        <v>8672</v>
      </c>
      <c r="E27" s="14" t="s">
        <v>72</v>
      </c>
      <c r="F27" s="14">
        <f t="shared" si="0"/>
        <v>1486.8</v>
      </c>
      <c r="G27" s="14">
        <v>1404</v>
      </c>
    </row>
    <row r="28" spans="1:7" ht="12.75">
      <c r="A28" s="14">
        <v>1407</v>
      </c>
      <c r="C28" s="17">
        <f t="shared" si="1"/>
        <v>58</v>
      </c>
      <c r="D28" s="14">
        <v>6654</v>
      </c>
      <c r="E28" s="14" t="s">
        <v>72</v>
      </c>
      <c r="F28" s="14">
        <f t="shared" si="0"/>
        <v>1688.3999999999999</v>
      </c>
      <c r="G28" s="14">
        <v>1612</v>
      </c>
    </row>
    <row r="29" spans="1:7" ht="12.75">
      <c r="A29" s="14">
        <v>1467</v>
      </c>
      <c r="C29" s="17">
        <f t="shared" si="1"/>
        <v>59</v>
      </c>
      <c r="D29" s="14">
        <v>5136</v>
      </c>
      <c r="E29" s="14" t="s">
        <v>72</v>
      </c>
      <c r="F29" s="14">
        <f t="shared" si="0"/>
        <v>1760.3999999999999</v>
      </c>
      <c r="G29" s="14">
        <v>1704</v>
      </c>
    </row>
    <row r="30" spans="1:7" ht="12.75">
      <c r="A30" s="14">
        <v>1502</v>
      </c>
      <c r="C30" s="17">
        <f t="shared" si="1"/>
        <v>60</v>
      </c>
      <c r="D30" s="14">
        <v>3917</v>
      </c>
      <c r="E30" s="14" t="s">
        <v>72</v>
      </c>
      <c r="F30" s="14">
        <f t="shared" si="0"/>
        <v>1802.3999999999999</v>
      </c>
      <c r="G30" s="14">
        <v>1758</v>
      </c>
    </row>
    <row r="31" spans="1:7" ht="12.75">
      <c r="A31" s="14">
        <v>1770</v>
      </c>
      <c r="C31" s="17">
        <f t="shared" si="1"/>
        <v>61</v>
      </c>
      <c r="D31" s="14">
        <v>3376</v>
      </c>
      <c r="E31" s="14" t="s">
        <v>72</v>
      </c>
      <c r="F31" s="14">
        <f t="shared" si="0"/>
        <v>2124</v>
      </c>
      <c r="G31" s="14">
        <v>2345</v>
      </c>
    </row>
    <row r="32" spans="1:7" ht="12.75">
      <c r="A32" s="14">
        <v>1732</v>
      </c>
      <c r="C32" s="17">
        <f t="shared" si="1"/>
        <v>62</v>
      </c>
      <c r="D32" s="14">
        <v>4830</v>
      </c>
      <c r="E32" s="14" t="s">
        <v>72</v>
      </c>
      <c r="F32" s="14">
        <f t="shared" si="0"/>
        <v>2078.4</v>
      </c>
      <c r="G32" s="14">
        <v>2316</v>
      </c>
    </row>
    <row r="33" spans="1:7" ht="12.75">
      <c r="A33" s="14">
        <v>1705</v>
      </c>
      <c r="C33" s="17">
        <f t="shared" si="1"/>
        <v>63</v>
      </c>
      <c r="D33" s="14">
        <v>6221</v>
      </c>
      <c r="E33" s="14" t="s">
        <v>72</v>
      </c>
      <c r="F33" s="14">
        <f t="shared" si="0"/>
        <v>2046</v>
      </c>
      <c r="G33" s="14">
        <v>2282</v>
      </c>
    </row>
    <row r="34" spans="1:7" ht="12.75">
      <c r="A34" s="14">
        <v>1659</v>
      </c>
      <c r="C34" s="17">
        <f t="shared" si="1"/>
        <v>64</v>
      </c>
      <c r="D34" s="14">
        <v>7792</v>
      </c>
      <c r="E34" s="14" t="s">
        <v>72</v>
      </c>
      <c r="F34" s="14">
        <f aca="true" t="shared" si="2" ref="F34:F65">1.2*A34</f>
        <v>1990.8</v>
      </c>
      <c r="G34" s="14">
        <v>2231</v>
      </c>
    </row>
    <row r="35" spans="1:7" ht="12.75">
      <c r="A35" s="14">
        <v>851</v>
      </c>
      <c r="C35" s="17">
        <f t="shared" si="1"/>
        <v>65</v>
      </c>
      <c r="D35" s="14">
        <v>1139</v>
      </c>
      <c r="E35" s="14" t="s">
        <v>72</v>
      </c>
      <c r="F35" s="14">
        <f t="shared" si="2"/>
        <v>1021.1999999999999</v>
      </c>
      <c r="G35" s="14">
        <v>892</v>
      </c>
    </row>
    <row r="36" spans="1:7" ht="12.75">
      <c r="A36" s="14">
        <v>814</v>
      </c>
      <c r="C36" s="17">
        <f t="shared" si="1"/>
        <v>66</v>
      </c>
      <c r="D36" s="14">
        <v>1712</v>
      </c>
      <c r="E36" s="14" t="s">
        <v>72</v>
      </c>
      <c r="F36" s="14">
        <f t="shared" si="2"/>
        <v>976.8</v>
      </c>
      <c r="G36" s="14">
        <v>967</v>
      </c>
    </row>
    <row r="37" spans="1:7" ht="12.75">
      <c r="A37" s="14">
        <v>750</v>
      </c>
      <c r="C37" s="17">
        <f aca="true" t="shared" si="3" ref="C37:C101">C36+1</f>
        <v>67</v>
      </c>
      <c r="D37" s="14">
        <v>2473</v>
      </c>
      <c r="E37" s="14" t="s">
        <v>72</v>
      </c>
      <c r="F37" s="14">
        <f t="shared" si="2"/>
        <v>900</v>
      </c>
      <c r="G37" s="14">
        <v>893</v>
      </c>
    </row>
    <row r="38" spans="1:7" ht="12.75">
      <c r="A38" s="14">
        <v>686</v>
      </c>
      <c r="C38" s="17">
        <f t="shared" si="3"/>
        <v>68</v>
      </c>
      <c r="D38" s="14">
        <v>2965</v>
      </c>
      <c r="E38" s="14" t="s">
        <v>72</v>
      </c>
      <c r="F38" s="14">
        <f t="shared" si="2"/>
        <v>823.1999999999999</v>
      </c>
      <c r="G38" s="14">
        <v>820</v>
      </c>
    </row>
    <row r="39" spans="1:7" ht="12.75">
      <c r="A39" s="14">
        <v>875</v>
      </c>
      <c r="C39" s="17">
        <f t="shared" si="3"/>
        <v>69</v>
      </c>
      <c r="D39" s="14">
        <v>1797</v>
      </c>
      <c r="E39" s="14" t="s">
        <v>72</v>
      </c>
      <c r="F39" s="14">
        <f t="shared" si="2"/>
        <v>1050</v>
      </c>
      <c r="G39" s="14">
        <v>1011</v>
      </c>
    </row>
    <row r="40" spans="1:7" ht="12.75">
      <c r="A40" s="14">
        <v>859</v>
      </c>
      <c r="C40" s="17">
        <f t="shared" si="3"/>
        <v>70</v>
      </c>
      <c r="D40" s="14">
        <v>2502</v>
      </c>
      <c r="E40" s="14" t="s">
        <v>72</v>
      </c>
      <c r="F40" s="14">
        <f t="shared" si="2"/>
        <v>1030.8</v>
      </c>
      <c r="G40" s="14">
        <v>1003</v>
      </c>
    </row>
    <row r="41" spans="1:7" ht="12.75">
      <c r="A41" s="14">
        <v>832</v>
      </c>
      <c r="C41" s="17">
        <f t="shared" si="3"/>
        <v>71</v>
      </c>
      <c r="D41" s="14">
        <v>3460</v>
      </c>
      <c r="E41" s="14" t="s">
        <v>72</v>
      </c>
      <c r="F41" s="14">
        <f t="shared" si="2"/>
        <v>998.4</v>
      </c>
      <c r="G41" s="14">
        <v>982</v>
      </c>
    </row>
    <row r="42" spans="1:7" ht="12.75">
      <c r="A42" s="14">
        <v>803</v>
      </c>
      <c r="C42" s="17">
        <f t="shared" si="3"/>
        <v>72</v>
      </c>
      <c r="D42" s="14">
        <v>4439</v>
      </c>
      <c r="E42" s="14" t="s">
        <v>72</v>
      </c>
      <c r="F42" s="14">
        <f t="shared" si="2"/>
        <v>963.5999999999999</v>
      </c>
      <c r="G42" s="14">
        <v>953</v>
      </c>
    </row>
    <row r="43" spans="1:7" ht="12.75">
      <c r="A43" s="14">
        <v>1216</v>
      </c>
      <c r="C43" s="17">
        <f t="shared" si="3"/>
        <v>73</v>
      </c>
      <c r="D43" s="14">
        <v>1596</v>
      </c>
      <c r="E43" s="14" t="s">
        <v>72</v>
      </c>
      <c r="F43" s="14">
        <f t="shared" si="2"/>
        <v>1459.2</v>
      </c>
      <c r="G43" s="14">
        <v>1499</v>
      </c>
    </row>
    <row r="44" spans="1:7" ht="12.75">
      <c r="A44" s="14">
        <v>1176</v>
      </c>
      <c r="C44" s="17">
        <f t="shared" si="3"/>
        <v>74</v>
      </c>
      <c r="D44" s="14">
        <v>2423</v>
      </c>
      <c r="E44" s="14" t="s">
        <v>72</v>
      </c>
      <c r="F44" s="14">
        <f t="shared" si="2"/>
        <v>1411.2</v>
      </c>
      <c r="G44" s="14">
        <v>1436</v>
      </c>
    </row>
    <row r="45" spans="1:7" ht="12.75">
      <c r="A45" s="14">
        <v>1070</v>
      </c>
      <c r="C45" s="17">
        <f t="shared" si="3"/>
        <v>75</v>
      </c>
      <c r="D45" s="14">
        <v>3598</v>
      </c>
      <c r="E45" s="14" t="s">
        <v>72</v>
      </c>
      <c r="F45" s="14">
        <f t="shared" si="2"/>
        <v>1284</v>
      </c>
      <c r="G45" s="14">
        <v>1297</v>
      </c>
    </row>
    <row r="46" spans="1:7" ht="12.75">
      <c r="A46" s="14">
        <v>918</v>
      </c>
      <c r="C46" s="17">
        <f t="shared" si="3"/>
        <v>76</v>
      </c>
      <c r="D46" s="14">
        <v>4410</v>
      </c>
      <c r="E46" s="14" t="s">
        <v>72</v>
      </c>
      <c r="F46" s="14">
        <f t="shared" si="2"/>
        <v>1101.6</v>
      </c>
      <c r="G46" s="14">
        <v>1123</v>
      </c>
    </row>
    <row r="47" spans="1:7" ht="12.75">
      <c r="A47" s="14">
        <v>834</v>
      </c>
      <c r="C47" s="17">
        <f t="shared" si="3"/>
        <v>77</v>
      </c>
      <c r="D47" s="14">
        <v>2939</v>
      </c>
      <c r="E47" s="14" t="s">
        <v>72</v>
      </c>
      <c r="F47" s="14">
        <f t="shared" si="2"/>
        <v>1000.8</v>
      </c>
      <c r="G47" s="14">
        <v>1006</v>
      </c>
    </row>
    <row r="48" spans="1:7" ht="12.75">
      <c r="A48" s="14">
        <v>817</v>
      </c>
      <c r="C48" s="17">
        <f t="shared" si="3"/>
        <v>78</v>
      </c>
      <c r="D48" s="14">
        <v>4140</v>
      </c>
      <c r="E48" s="14" t="s">
        <v>72</v>
      </c>
      <c r="F48" s="14">
        <f t="shared" si="2"/>
        <v>980.4</v>
      </c>
      <c r="G48" s="14">
        <v>982</v>
      </c>
    </row>
    <row r="49" spans="1:7" ht="12.75">
      <c r="A49" s="14">
        <v>770</v>
      </c>
      <c r="C49" s="17">
        <f t="shared" si="3"/>
        <v>79</v>
      </c>
      <c r="D49" s="14">
        <v>5820</v>
      </c>
      <c r="E49" s="14" t="s">
        <v>72</v>
      </c>
      <c r="F49" s="14">
        <f t="shared" si="2"/>
        <v>924</v>
      </c>
      <c r="G49" s="14">
        <v>935</v>
      </c>
    </row>
    <row r="50" spans="1:7" ht="12.75">
      <c r="A50" s="14">
        <v>746</v>
      </c>
      <c r="C50" s="17">
        <f t="shared" si="3"/>
        <v>80</v>
      </c>
      <c r="D50" s="14">
        <v>6871</v>
      </c>
      <c r="E50" s="14" t="s">
        <v>72</v>
      </c>
      <c r="F50" s="14">
        <f t="shared" si="2"/>
        <v>895.1999999999999</v>
      </c>
      <c r="G50" s="14">
        <v>895</v>
      </c>
    </row>
    <row r="51" spans="1:7" ht="12.75">
      <c r="A51" s="14">
        <v>899</v>
      </c>
      <c r="C51" s="17">
        <f t="shared" si="3"/>
        <v>81</v>
      </c>
      <c r="D51" s="14">
        <v>1943</v>
      </c>
      <c r="E51" s="14" t="s">
        <v>72</v>
      </c>
      <c r="F51" s="14">
        <f t="shared" si="2"/>
        <v>1078.8</v>
      </c>
      <c r="G51" s="14">
        <v>1433</v>
      </c>
    </row>
    <row r="52" spans="1:7" ht="12.75">
      <c r="A52" s="14">
        <v>833</v>
      </c>
      <c r="C52" s="17">
        <f t="shared" si="3"/>
        <v>82</v>
      </c>
      <c r="D52" s="14">
        <v>2910</v>
      </c>
      <c r="E52" s="14" t="s">
        <v>72</v>
      </c>
      <c r="F52" s="14">
        <f t="shared" si="2"/>
        <v>999.5999999999999</v>
      </c>
      <c r="G52" s="14">
        <v>1333</v>
      </c>
    </row>
    <row r="53" spans="1:7" ht="12.75">
      <c r="A53" s="14">
        <v>755</v>
      </c>
      <c r="C53" s="17">
        <f t="shared" si="3"/>
        <v>83</v>
      </c>
      <c r="D53" s="14">
        <v>3742</v>
      </c>
      <c r="E53" s="14" t="s">
        <v>72</v>
      </c>
      <c r="F53" s="14">
        <f t="shared" si="2"/>
        <v>906</v>
      </c>
      <c r="G53" s="14">
        <v>1213</v>
      </c>
    </row>
    <row r="54" spans="1:7" ht="12.75">
      <c r="A54" s="14">
        <v>683</v>
      </c>
      <c r="C54" s="17">
        <f t="shared" si="3"/>
        <v>84</v>
      </c>
      <c r="D54" s="14">
        <v>4485</v>
      </c>
      <c r="E54" s="14" t="s">
        <v>72</v>
      </c>
      <c r="F54" s="14">
        <f t="shared" si="2"/>
        <v>819.6</v>
      </c>
      <c r="G54" s="14">
        <v>1099</v>
      </c>
    </row>
    <row r="55" spans="1:7" ht="12.75">
      <c r="A55" s="14">
        <v>1082</v>
      </c>
      <c r="C55" s="17">
        <f t="shared" si="3"/>
        <v>85</v>
      </c>
      <c r="D55" s="14">
        <v>3436</v>
      </c>
      <c r="E55" s="14" t="s">
        <v>72</v>
      </c>
      <c r="F55" s="14">
        <f t="shared" si="2"/>
        <v>1298.3999999999999</v>
      </c>
      <c r="G55" s="14">
        <v>1267</v>
      </c>
    </row>
    <row r="56" spans="1:7" ht="12.75">
      <c r="A56" s="14">
        <v>1058</v>
      </c>
      <c r="C56" s="17">
        <f t="shared" si="3"/>
        <v>86</v>
      </c>
      <c r="D56" s="14">
        <v>4471</v>
      </c>
      <c r="E56" s="14" t="s">
        <v>72</v>
      </c>
      <c r="F56" s="14">
        <f t="shared" si="2"/>
        <v>1269.6</v>
      </c>
      <c r="G56" s="14">
        <v>1247</v>
      </c>
    </row>
    <row r="57" spans="1:7" ht="12.75">
      <c r="A57" s="14">
        <v>1026</v>
      </c>
      <c r="C57" s="17">
        <f t="shared" si="3"/>
        <v>87</v>
      </c>
      <c r="D57" s="14">
        <v>1550</v>
      </c>
      <c r="E57" s="14" t="s">
        <v>72</v>
      </c>
      <c r="F57" s="14">
        <f t="shared" si="2"/>
        <v>1231.2</v>
      </c>
      <c r="G57" s="14">
        <v>1243</v>
      </c>
    </row>
    <row r="58" spans="1:7" ht="12.75">
      <c r="A58" s="14">
        <v>996</v>
      </c>
      <c r="C58" s="17">
        <f t="shared" si="3"/>
        <v>88</v>
      </c>
      <c r="D58" s="14">
        <v>1804</v>
      </c>
      <c r="E58" s="14" t="s">
        <v>72</v>
      </c>
      <c r="F58" s="14">
        <f t="shared" si="2"/>
        <v>1195.2</v>
      </c>
      <c r="G58" s="14">
        <v>1208</v>
      </c>
    </row>
    <row r="59" spans="1:7" ht="12.75">
      <c r="A59" s="14">
        <v>941</v>
      </c>
      <c r="C59" s="17">
        <f t="shared" si="3"/>
        <v>89</v>
      </c>
      <c r="D59" s="14">
        <v>2385</v>
      </c>
      <c r="E59" s="14" t="s">
        <v>72</v>
      </c>
      <c r="F59" s="14">
        <f t="shared" si="2"/>
        <v>1129.2</v>
      </c>
      <c r="G59" s="14">
        <v>1140</v>
      </c>
    </row>
    <row r="60" spans="1:7" ht="12.75">
      <c r="A60" s="14">
        <v>856</v>
      </c>
      <c r="C60" s="17">
        <f t="shared" si="3"/>
        <v>90</v>
      </c>
      <c r="D60" s="14">
        <v>2949</v>
      </c>
      <c r="E60" s="14" t="s">
        <v>72</v>
      </c>
      <c r="F60" s="14">
        <f t="shared" si="2"/>
        <v>1027.2</v>
      </c>
      <c r="G60" s="14">
        <v>1034</v>
      </c>
    </row>
    <row r="61" spans="1:7" ht="12.75">
      <c r="A61" s="14">
        <v>5098</v>
      </c>
      <c r="C61" s="17">
        <f t="shared" si="3"/>
        <v>91</v>
      </c>
      <c r="D61" s="14">
        <v>3024</v>
      </c>
      <c r="E61" s="14" t="s">
        <v>72</v>
      </c>
      <c r="F61" s="14">
        <f t="shared" si="2"/>
        <v>6117.599999999999</v>
      </c>
      <c r="G61" s="14">
        <v>6476</v>
      </c>
    </row>
    <row r="62" spans="1:7" ht="12.75">
      <c r="A62" s="14">
        <v>1150</v>
      </c>
      <c r="C62" s="17">
        <f>C92+1</f>
        <v>7</v>
      </c>
      <c r="D62" s="14">
        <v>2926</v>
      </c>
      <c r="E62" s="14" t="s">
        <v>72</v>
      </c>
      <c r="F62" s="14">
        <f t="shared" si="2"/>
        <v>1380</v>
      </c>
      <c r="G62" s="14">
        <v>1458</v>
      </c>
    </row>
    <row r="63" spans="1:7" ht="12.75">
      <c r="A63" s="14">
        <v>1142</v>
      </c>
      <c r="C63" s="17">
        <f>C8+1</f>
        <v>9</v>
      </c>
      <c r="D63" s="14">
        <v>3726</v>
      </c>
      <c r="E63" s="14" t="s">
        <v>72</v>
      </c>
      <c r="F63" s="14">
        <f t="shared" si="2"/>
        <v>1370.3999999999999</v>
      </c>
      <c r="G63" s="14">
        <v>1520</v>
      </c>
    </row>
    <row r="64" spans="1:7" ht="12.75">
      <c r="A64" s="14">
        <v>1085</v>
      </c>
      <c r="C64" s="17">
        <f>C85+1</f>
        <v>16</v>
      </c>
      <c r="D64" s="14">
        <v>2572</v>
      </c>
      <c r="E64" s="14" t="s">
        <v>72</v>
      </c>
      <c r="F64" s="14">
        <f t="shared" si="2"/>
        <v>1302</v>
      </c>
      <c r="G64" s="14">
        <v>1532</v>
      </c>
    </row>
    <row r="65" spans="1:7" ht="12.75">
      <c r="A65" s="14">
        <v>1574</v>
      </c>
      <c r="C65" s="17">
        <f>C12+1</f>
        <v>19</v>
      </c>
      <c r="D65" s="14">
        <v>3351</v>
      </c>
      <c r="E65" s="15" t="s">
        <v>72</v>
      </c>
      <c r="F65" s="14">
        <f t="shared" si="2"/>
        <v>1888.8</v>
      </c>
      <c r="G65" s="14">
        <v>2175</v>
      </c>
    </row>
    <row r="66" spans="1:7" ht="12.75">
      <c r="A66" s="14">
        <v>1082</v>
      </c>
      <c r="C66" s="17">
        <f>C13+1</f>
        <v>21</v>
      </c>
      <c r="D66" s="14">
        <v>2769</v>
      </c>
      <c r="E66" s="14" t="s">
        <v>72</v>
      </c>
      <c r="F66" s="14">
        <f aca="true" t="shared" si="4" ref="F66:F97">1.2*A66</f>
        <v>1298.3999999999999</v>
      </c>
      <c r="G66" s="14">
        <v>1527</v>
      </c>
    </row>
    <row r="67" spans="1:7" ht="12.75">
      <c r="A67" s="14">
        <v>1648</v>
      </c>
      <c r="C67" s="17">
        <f>C14+1</f>
        <v>24</v>
      </c>
      <c r="D67" s="14">
        <v>3890</v>
      </c>
      <c r="E67" s="14" t="s">
        <v>72</v>
      </c>
      <c r="F67" s="14">
        <f t="shared" si="4"/>
        <v>1977.6</v>
      </c>
      <c r="G67" s="14">
        <v>2231</v>
      </c>
    </row>
    <row r="68" spans="1:7" ht="12.75">
      <c r="A68" s="14">
        <v>1569</v>
      </c>
      <c r="C68" s="17">
        <f>C81+1</f>
        <v>26</v>
      </c>
      <c r="D68" s="14">
        <v>3517</v>
      </c>
      <c r="E68" s="14" t="s">
        <v>72</v>
      </c>
      <c r="F68" s="14">
        <f t="shared" si="4"/>
        <v>1882.8</v>
      </c>
      <c r="G68" s="14">
        <v>2038</v>
      </c>
    </row>
    <row r="69" spans="1:7" ht="12.75">
      <c r="A69" s="14">
        <v>1930</v>
      </c>
      <c r="C69" s="17">
        <f>C15+1</f>
        <v>29</v>
      </c>
      <c r="D69" s="14">
        <v>6946</v>
      </c>
      <c r="E69" s="15" t="s">
        <v>72</v>
      </c>
      <c r="F69" s="14">
        <f t="shared" si="4"/>
        <v>2316</v>
      </c>
      <c r="G69" s="14">
        <v>3109</v>
      </c>
    </row>
    <row r="70" spans="1:7" ht="12.75">
      <c r="A70" s="14">
        <v>910</v>
      </c>
      <c r="C70" s="17">
        <f>C16+1</f>
        <v>31</v>
      </c>
      <c r="D70" s="14">
        <v>1959</v>
      </c>
      <c r="E70" s="14" t="s">
        <v>72</v>
      </c>
      <c r="F70" s="14">
        <f t="shared" si="4"/>
        <v>1092</v>
      </c>
      <c r="G70" s="14">
        <v>1126</v>
      </c>
    </row>
    <row r="71" spans="1:7" ht="12.75">
      <c r="A71" s="14">
        <v>3747</v>
      </c>
      <c r="C71" s="17">
        <f>C17+1</f>
        <v>34</v>
      </c>
      <c r="D71" s="14">
        <v>7504</v>
      </c>
      <c r="E71" s="14" t="s">
        <v>72</v>
      </c>
      <c r="F71" s="14">
        <f t="shared" si="4"/>
        <v>4496.4</v>
      </c>
      <c r="G71" s="14">
        <v>4890</v>
      </c>
    </row>
    <row r="72" spans="1:7" ht="12.75">
      <c r="A72" s="14">
        <v>3195</v>
      </c>
      <c r="C72" s="17">
        <f>C18+1</f>
        <v>37</v>
      </c>
      <c r="D72" s="14">
        <v>4150</v>
      </c>
      <c r="E72" s="14" t="s">
        <v>72</v>
      </c>
      <c r="F72" s="14">
        <f t="shared" si="4"/>
        <v>3834</v>
      </c>
      <c r="G72" s="14">
        <v>3627</v>
      </c>
    </row>
    <row r="73" spans="1:7" ht="12.75">
      <c r="A73" s="14">
        <v>4649</v>
      </c>
      <c r="C73" s="17">
        <f>C104+1</f>
        <v>40</v>
      </c>
      <c r="D73" s="14">
        <v>5513</v>
      </c>
      <c r="E73" s="14" t="s">
        <v>72</v>
      </c>
      <c r="F73" s="14">
        <f t="shared" si="4"/>
        <v>5578.8</v>
      </c>
      <c r="G73" s="14">
        <v>5931</v>
      </c>
    </row>
    <row r="74" spans="1:7" ht="12.75">
      <c r="A74" s="14">
        <v>5857</v>
      </c>
      <c r="C74" s="17">
        <f>C19+1</f>
        <v>43</v>
      </c>
      <c r="D74" s="14">
        <v>9897</v>
      </c>
      <c r="E74" s="14" t="s">
        <v>72</v>
      </c>
      <c r="F74" s="14">
        <f t="shared" si="4"/>
        <v>7028.4</v>
      </c>
      <c r="G74" s="14">
        <v>7896</v>
      </c>
    </row>
    <row r="75" spans="1:7" ht="12.75">
      <c r="A75" s="14">
        <v>5957</v>
      </c>
      <c r="C75" s="17">
        <f>C20+1</f>
        <v>46</v>
      </c>
      <c r="D75" s="14">
        <v>9289</v>
      </c>
      <c r="E75" s="14" t="s">
        <v>72</v>
      </c>
      <c r="F75" s="14">
        <f t="shared" si="4"/>
        <v>7148.4</v>
      </c>
      <c r="G75" s="14">
        <v>7921</v>
      </c>
    </row>
    <row r="76" spans="1:7" ht="12.75">
      <c r="A76" s="14">
        <v>5535</v>
      </c>
      <c r="C76" s="17">
        <f>C23+1</f>
        <v>49</v>
      </c>
      <c r="D76" s="14">
        <v>9747</v>
      </c>
      <c r="E76" s="14" t="s">
        <v>72</v>
      </c>
      <c r="F76" s="14">
        <f t="shared" si="4"/>
        <v>6642</v>
      </c>
      <c r="G76" s="14">
        <v>7290</v>
      </c>
    </row>
    <row r="77" spans="1:7" ht="12.75">
      <c r="A77" s="14">
        <v>5580</v>
      </c>
      <c r="C77" s="17">
        <f>C75+1</f>
        <v>47</v>
      </c>
      <c r="D77" s="14">
        <v>7109</v>
      </c>
      <c r="E77" s="14" t="s">
        <v>71</v>
      </c>
      <c r="F77" s="14">
        <f t="shared" si="4"/>
        <v>6696</v>
      </c>
      <c r="G77" s="14">
        <v>7335</v>
      </c>
    </row>
    <row r="78" spans="1:7" ht="12.75">
      <c r="A78" s="14">
        <v>5931</v>
      </c>
      <c r="C78" s="17">
        <f>C73+1</f>
        <v>41</v>
      </c>
      <c r="D78" s="14">
        <v>8185</v>
      </c>
      <c r="E78" s="14" t="s">
        <v>71</v>
      </c>
      <c r="F78" s="14">
        <f t="shared" si="4"/>
        <v>7117.2</v>
      </c>
      <c r="G78" s="14">
        <v>7988</v>
      </c>
    </row>
    <row r="79" spans="1:7" ht="12.75">
      <c r="A79" s="14">
        <v>3281</v>
      </c>
      <c r="C79" s="17">
        <f>C71+1</f>
        <v>35</v>
      </c>
      <c r="D79" s="14">
        <v>3009</v>
      </c>
      <c r="E79" s="14" t="s">
        <v>71</v>
      </c>
      <c r="F79" s="14">
        <f t="shared" si="4"/>
        <v>3937.2</v>
      </c>
      <c r="G79" s="14">
        <v>3711</v>
      </c>
    </row>
    <row r="80" spans="1:7" ht="12.75">
      <c r="A80" s="14">
        <v>3767</v>
      </c>
      <c r="C80" s="17">
        <f>C70+1</f>
        <v>32</v>
      </c>
      <c r="D80" s="14">
        <v>5501</v>
      </c>
      <c r="E80" s="14" t="s">
        <v>71</v>
      </c>
      <c r="F80" s="14">
        <f t="shared" si="4"/>
        <v>4520.4</v>
      </c>
      <c r="G80" s="14">
        <v>4904</v>
      </c>
    </row>
    <row r="81" spans="1:7" ht="12.75">
      <c r="A81" s="14">
        <v>1604</v>
      </c>
      <c r="C81" s="17">
        <f>C67+1</f>
        <v>25</v>
      </c>
      <c r="D81" s="14">
        <v>2547</v>
      </c>
      <c r="E81" s="14" t="s">
        <v>71</v>
      </c>
      <c r="F81" s="14">
        <f t="shared" si="4"/>
        <v>1924.8</v>
      </c>
      <c r="G81" s="14">
        <v>2100</v>
      </c>
    </row>
    <row r="82" spans="1:7" ht="12.75">
      <c r="A82" s="14">
        <v>1956</v>
      </c>
      <c r="C82" s="17">
        <f>C68+1</f>
        <v>27</v>
      </c>
      <c r="D82" s="14">
        <v>3472</v>
      </c>
      <c r="E82" s="14" t="s">
        <v>71</v>
      </c>
      <c r="F82" s="14">
        <f t="shared" si="4"/>
        <v>2347.2</v>
      </c>
      <c r="G82" s="14">
        <v>3274</v>
      </c>
    </row>
    <row r="83" spans="1:7" ht="12.75">
      <c r="A83" s="14">
        <v>1660</v>
      </c>
      <c r="C83" s="17">
        <f>C66+1</f>
        <v>22</v>
      </c>
      <c r="D83" s="14">
        <v>2542</v>
      </c>
      <c r="E83" s="14" t="s">
        <v>71</v>
      </c>
      <c r="F83" s="14">
        <f t="shared" si="4"/>
        <v>1992</v>
      </c>
      <c r="G83" s="14">
        <v>2243</v>
      </c>
    </row>
    <row r="84" spans="1:7" ht="12.75">
      <c r="A84" s="14">
        <v>1623</v>
      </c>
      <c r="C84" s="17">
        <f>C64+1</f>
        <v>17</v>
      </c>
      <c r="D84" s="14">
        <v>2261</v>
      </c>
      <c r="E84" s="14" t="s">
        <v>71</v>
      </c>
      <c r="F84" s="14">
        <f t="shared" si="4"/>
        <v>1947.6</v>
      </c>
      <c r="G84" s="14">
        <v>2256</v>
      </c>
    </row>
    <row r="85" spans="1:7" ht="12.75">
      <c r="A85" s="14">
        <v>1108</v>
      </c>
      <c r="C85" s="17">
        <f>C11+1</f>
        <v>15</v>
      </c>
      <c r="D85" s="14">
        <v>1792</v>
      </c>
      <c r="E85" s="14" t="s">
        <v>71</v>
      </c>
      <c r="F85" s="14">
        <f t="shared" si="4"/>
        <v>1329.6</v>
      </c>
      <c r="G85" s="14">
        <v>1540</v>
      </c>
    </row>
    <row r="86" spans="1:7" ht="12.75">
      <c r="A86" s="14">
        <v>1635</v>
      </c>
      <c r="C86" s="17">
        <f>C10+1</f>
        <v>13</v>
      </c>
      <c r="D86" s="14">
        <v>1814</v>
      </c>
      <c r="E86" s="14" t="s">
        <v>71</v>
      </c>
      <c r="F86" s="14">
        <f t="shared" si="4"/>
        <v>1962</v>
      </c>
      <c r="G86" s="14">
        <v>2307</v>
      </c>
    </row>
    <row r="87" spans="1:7" ht="15" customHeight="1">
      <c r="A87" s="14">
        <v>5045</v>
      </c>
      <c r="C87" s="17">
        <f>C61+1</f>
        <v>92</v>
      </c>
      <c r="D87" s="14">
        <v>3863</v>
      </c>
      <c r="E87" s="14" t="s">
        <v>71</v>
      </c>
      <c r="F87" s="14">
        <f t="shared" si="4"/>
        <v>6054</v>
      </c>
      <c r="G87" s="14">
        <v>6332</v>
      </c>
    </row>
    <row r="88" spans="1:7" ht="12.75">
      <c r="A88" s="14">
        <v>1148</v>
      </c>
      <c r="C88" s="17">
        <f t="shared" si="3"/>
        <v>93</v>
      </c>
      <c r="D88" s="14">
        <v>1247</v>
      </c>
      <c r="E88" s="14" t="s">
        <v>71</v>
      </c>
      <c r="F88" s="14">
        <f t="shared" si="4"/>
        <v>1377.6</v>
      </c>
      <c r="G88" s="14">
        <v>1588</v>
      </c>
    </row>
    <row r="89" spans="1:7" ht="12.75">
      <c r="A89" s="14">
        <v>1099</v>
      </c>
      <c r="C89" s="17">
        <f t="shared" si="3"/>
        <v>94</v>
      </c>
      <c r="D89" s="14">
        <v>1313</v>
      </c>
      <c r="E89" s="14" t="s">
        <v>71</v>
      </c>
      <c r="F89" s="14">
        <f t="shared" si="4"/>
        <v>1318.8</v>
      </c>
      <c r="G89" s="14">
        <v>1577</v>
      </c>
    </row>
    <row r="90" spans="1:7" ht="12.75">
      <c r="A90" s="14">
        <v>1197</v>
      </c>
      <c r="C90" s="17">
        <f t="shared" si="3"/>
        <v>95</v>
      </c>
      <c r="D90" s="14">
        <v>1356</v>
      </c>
      <c r="E90" s="14" t="s">
        <v>71</v>
      </c>
      <c r="F90" s="14">
        <f t="shared" si="4"/>
        <v>1436.3999999999999</v>
      </c>
      <c r="G90" s="14">
        <v>1619</v>
      </c>
    </row>
    <row r="91" spans="1:7" ht="12.75">
      <c r="A91" s="14">
        <v>1419</v>
      </c>
      <c r="C91" s="17">
        <f t="shared" si="3"/>
        <v>96</v>
      </c>
      <c r="D91" s="14">
        <v>1365</v>
      </c>
      <c r="E91" s="14" t="s">
        <v>71</v>
      </c>
      <c r="F91" s="14">
        <f t="shared" si="4"/>
        <v>1702.8</v>
      </c>
      <c r="G91" s="14">
        <v>1868</v>
      </c>
    </row>
    <row r="92" spans="1:7" ht="12.75">
      <c r="A92" s="14">
        <v>1156</v>
      </c>
      <c r="C92" s="17">
        <f>C6+1</f>
        <v>6</v>
      </c>
      <c r="D92" s="14">
        <v>1525</v>
      </c>
      <c r="E92" s="14" t="s">
        <v>71</v>
      </c>
      <c r="F92" s="14">
        <f t="shared" si="4"/>
        <v>1387.2</v>
      </c>
      <c r="G92" s="14">
        <v>1494</v>
      </c>
    </row>
    <row r="93" spans="1:7" ht="12.75">
      <c r="A93" s="14">
        <v>5093</v>
      </c>
      <c r="C93" s="17">
        <f>C7+1</f>
        <v>98</v>
      </c>
      <c r="D93" s="14">
        <v>5740</v>
      </c>
      <c r="E93" s="14" t="s">
        <v>71</v>
      </c>
      <c r="F93" s="14">
        <f t="shared" si="4"/>
        <v>6111.599999999999</v>
      </c>
      <c r="G93" s="14">
        <v>5938</v>
      </c>
    </row>
    <row r="94" spans="1:7" ht="12.75">
      <c r="A94" s="14">
        <v>5923</v>
      </c>
      <c r="C94" s="17">
        <f t="shared" si="3"/>
        <v>99</v>
      </c>
      <c r="D94" s="14">
        <v>3890</v>
      </c>
      <c r="E94" s="14" t="s">
        <v>71</v>
      </c>
      <c r="F94" s="14">
        <f t="shared" si="4"/>
        <v>7107.599999999999</v>
      </c>
      <c r="G94" s="14">
        <v>6871</v>
      </c>
    </row>
    <row r="95" spans="1:7" ht="12.75">
      <c r="A95" s="14">
        <v>6186</v>
      </c>
      <c r="C95" s="17">
        <f t="shared" si="3"/>
        <v>100</v>
      </c>
      <c r="D95" s="14">
        <v>2780</v>
      </c>
      <c r="E95" s="14" t="s">
        <v>71</v>
      </c>
      <c r="F95" s="14">
        <f t="shared" si="4"/>
        <v>7423.2</v>
      </c>
      <c r="G95" s="14">
        <v>7166</v>
      </c>
    </row>
    <row r="96" spans="1:7" ht="12.75">
      <c r="A96" s="14">
        <v>6359</v>
      </c>
      <c r="C96" s="17">
        <f t="shared" si="3"/>
        <v>101</v>
      </c>
      <c r="D96" s="14">
        <v>1638</v>
      </c>
      <c r="E96" s="14" t="s">
        <v>71</v>
      </c>
      <c r="F96" s="14">
        <f t="shared" si="4"/>
        <v>7630.799999999999</v>
      </c>
      <c r="G96" s="14">
        <v>7357</v>
      </c>
    </row>
    <row r="97" spans="1:7" ht="12.75">
      <c r="A97" s="14">
        <v>2184</v>
      </c>
      <c r="C97" s="17">
        <f t="shared" si="3"/>
        <v>102</v>
      </c>
      <c r="D97" s="14">
        <v>400</v>
      </c>
      <c r="E97" s="14" t="s">
        <v>71</v>
      </c>
      <c r="F97" s="14">
        <f t="shared" si="4"/>
        <v>2620.7999999999997</v>
      </c>
      <c r="G97" s="14">
        <v>2338</v>
      </c>
    </row>
    <row r="98" spans="1:7" ht="12.75">
      <c r="A98" s="14">
        <v>1726</v>
      </c>
      <c r="C98" s="17">
        <f t="shared" si="3"/>
        <v>103</v>
      </c>
      <c r="D98" s="14">
        <v>800</v>
      </c>
      <c r="E98" s="14" t="s">
        <v>71</v>
      </c>
      <c r="F98" s="14">
        <f aca="true" t="shared" si="5" ref="F98:F107">1.2*A98</f>
        <v>2071.2</v>
      </c>
      <c r="G98" s="14">
        <v>2242</v>
      </c>
    </row>
    <row r="99" spans="1:7" ht="12.75">
      <c r="A99" s="14">
        <v>6367</v>
      </c>
      <c r="C99" s="17">
        <f t="shared" si="3"/>
        <v>104</v>
      </c>
      <c r="D99" s="14">
        <v>4300</v>
      </c>
      <c r="E99" s="14" t="s">
        <v>71</v>
      </c>
      <c r="F99" s="14">
        <f t="shared" si="5"/>
        <v>7640.4</v>
      </c>
      <c r="G99" s="14">
        <v>7975</v>
      </c>
    </row>
    <row r="100" spans="1:7" ht="12.75">
      <c r="A100" s="14">
        <v>2083</v>
      </c>
      <c r="C100" s="17">
        <f t="shared" si="3"/>
        <v>105</v>
      </c>
      <c r="D100" s="14">
        <v>500</v>
      </c>
      <c r="E100" s="14" t="s">
        <v>71</v>
      </c>
      <c r="F100" s="14">
        <f t="shared" si="5"/>
        <v>2499.6</v>
      </c>
      <c r="G100" s="14">
        <v>2906</v>
      </c>
    </row>
    <row r="101" spans="1:7" ht="12.75">
      <c r="A101" s="14">
        <v>3248</v>
      </c>
      <c r="C101" s="17">
        <f t="shared" si="3"/>
        <v>106</v>
      </c>
      <c r="D101" s="14">
        <v>470</v>
      </c>
      <c r="E101" s="14" t="s">
        <v>71</v>
      </c>
      <c r="F101" s="14">
        <f t="shared" si="5"/>
        <v>3897.6</v>
      </c>
      <c r="G101" s="14">
        <v>4406</v>
      </c>
    </row>
    <row r="102" spans="1:7" ht="12.75">
      <c r="A102" s="14">
        <v>2412</v>
      </c>
      <c r="C102" s="17">
        <f>C63+1</f>
        <v>10</v>
      </c>
      <c r="D102" s="14">
        <v>2611</v>
      </c>
      <c r="E102" s="14" t="s">
        <v>71</v>
      </c>
      <c r="F102" s="14">
        <f t="shared" si="5"/>
        <v>2894.4</v>
      </c>
      <c r="G102" s="14">
        <v>3388</v>
      </c>
    </row>
    <row r="103" spans="1:7" ht="12.75">
      <c r="A103" s="14">
        <v>4920</v>
      </c>
      <c r="C103" s="17">
        <f>C72+1</f>
        <v>38</v>
      </c>
      <c r="D103" s="14">
        <v>4441</v>
      </c>
      <c r="E103" s="14" t="s">
        <v>71</v>
      </c>
      <c r="F103" s="14">
        <f t="shared" si="5"/>
        <v>5904</v>
      </c>
      <c r="G103" s="14">
        <v>6262</v>
      </c>
    </row>
    <row r="104" spans="1:7" ht="12.75">
      <c r="A104" s="14">
        <v>4793</v>
      </c>
      <c r="C104" s="17">
        <f>C103+1</f>
        <v>39</v>
      </c>
      <c r="D104" s="14">
        <v>4843</v>
      </c>
      <c r="E104" s="14" t="s">
        <v>71</v>
      </c>
      <c r="F104" s="14">
        <f t="shared" si="5"/>
        <v>5751.599999999999</v>
      </c>
      <c r="G104" s="14">
        <v>6106</v>
      </c>
    </row>
    <row r="105" spans="1:7" ht="12.75">
      <c r="A105" s="14">
        <v>6082</v>
      </c>
      <c r="C105" s="17">
        <f>C74+1</f>
        <v>44</v>
      </c>
      <c r="D105" s="14">
        <v>6702</v>
      </c>
      <c r="E105" s="14" t="s">
        <v>71</v>
      </c>
      <c r="F105" s="14">
        <f t="shared" si="5"/>
        <v>7298.4</v>
      </c>
      <c r="G105" s="14">
        <v>8093</v>
      </c>
    </row>
    <row r="106" spans="1:7" ht="12.75">
      <c r="A106" s="14">
        <v>5641</v>
      </c>
      <c r="C106" s="17">
        <f>C76+1</f>
        <v>50</v>
      </c>
      <c r="D106" s="14">
        <v>6361</v>
      </c>
      <c r="E106" s="14" t="s">
        <v>71</v>
      </c>
      <c r="F106" s="14">
        <f t="shared" si="5"/>
        <v>6769.2</v>
      </c>
      <c r="G106" s="14">
        <v>7303</v>
      </c>
    </row>
    <row r="107" spans="1:7" ht="12.75">
      <c r="A107" s="14">
        <v>3613</v>
      </c>
      <c r="C107" s="17">
        <f>C25+1</f>
        <v>54</v>
      </c>
      <c r="D107" s="14">
        <v>4124</v>
      </c>
      <c r="E107" s="14" t="s">
        <v>71</v>
      </c>
      <c r="F107" s="14">
        <f t="shared" si="5"/>
        <v>4335.599999999999</v>
      </c>
      <c r="G107" s="14">
        <v>4885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Louisiana at Lafayette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Louisiana at Lafayette</dc:creator>
  <cp:keywords/>
  <dc:description/>
  <cp:lastModifiedBy>University of Louisiana at Lafayette</cp:lastModifiedBy>
  <dcterms:created xsi:type="dcterms:W3CDTF">2004-06-01T13:42:20Z</dcterms:created>
  <dcterms:modified xsi:type="dcterms:W3CDTF">2005-02-22T22:21:41Z</dcterms:modified>
  <cp:category/>
  <cp:version/>
  <cp:contentType/>
  <cp:contentStatus/>
</cp:coreProperties>
</file>